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840" windowWidth="19200" windowHeight="11250" activeTab="4"/>
  </bookViews>
  <sheets>
    <sheet name="Instruction Sheet" sheetId="2" r:id="rId1"/>
    <sheet name="DAF 1" sheetId="1" r:id="rId2"/>
    <sheet name="DAF 2" sheetId="3" r:id="rId3"/>
    <sheet name="DAF 3" sheetId="4" r:id="rId4"/>
    <sheet name="DAF 4" sheetId="5" r:id="rId5"/>
  </sheets>
  <definedNames>
    <definedName name="_xlnm.Print_Area" localSheetId="1">'DAF 1'!$A$2:$M$73</definedName>
    <definedName name="_xlnm.Print_Area" localSheetId="2">'DAF 2'!$A$2:$M$73</definedName>
    <definedName name="_xlnm.Print_Area" localSheetId="3">'DAF 3'!$A$2:$M$73</definedName>
    <definedName name="_xlnm.Print_Area" localSheetId="4">'DAF 4'!$A$2:$M$73</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0" i="3" l="1"/>
  <c r="A138" i="5" l="1"/>
  <c r="A134" i="5"/>
  <c r="A130" i="5"/>
  <c r="A126" i="5"/>
  <c r="A122" i="5"/>
  <c r="A118" i="5"/>
  <c r="A114" i="5"/>
  <c r="A110" i="5"/>
  <c r="A106" i="5"/>
  <c r="A102" i="5"/>
  <c r="A98" i="5"/>
  <c r="A94" i="5"/>
  <c r="A90" i="5"/>
  <c r="A86" i="5"/>
  <c r="A82" i="5"/>
  <c r="A78" i="5"/>
  <c r="A74" i="5"/>
  <c r="A70" i="5"/>
  <c r="A66" i="5"/>
  <c r="A62" i="5"/>
  <c r="A58" i="5"/>
  <c r="A54" i="5"/>
  <c r="A38" i="5"/>
  <c r="A34" i="5"/>
  <c r="A30" i="5"/>
  <c r="A26" i="5"/>
  <c r="A22" i="5"/>
  <c r="A18" i="5"/>
  <c r="A416" i="4"/>
  <c r="A412" i="4"/>
  <c r="A408" i="4"/>
  <c r="A404" i="4"/>
  <c r="A400" i="4"/>
  <c r="A396" i="4"/>
  <c r="A392" i="4"/>
  <c r="A388" i="4"/>
  <c r="A384" i="4"/>
  <c r="A380" i="4"/>
  <c r="A376" i="4"/>
  <c r="A372" i="4"/>
  <c r="A368" i="4"/>
  <c r="A364" i="4"/>
  <c r="A360" i="4"/>
  <c r="A356" i="4"/>
  <c r="A352" i="4"/>
  <c r="A348" i="4"/>
  <c r="A344" i="4"/>
  <c r="A340" i="4"/>
  <c r="A336" i="4"/>
  <c r="A332" i="4"/>
  <c r="A328" i="4"/>
  <c r="A324" i="4"/>
  <c r="A320" i="4"/>
  <c r="A316" i="4"/>
  <c r="A312" i="4"/>
  <c r="A308" i="4"/>
  <c r="A304" i="4"/>
  <c r="A300" i="4"/>
  <c r="A296" i="4"/>
  <c r="A292" i="4"/>
  <c r="A288" i="4"/>
  <c r="A284" i="4"/>
  <c r="A280" i="4"/>
  <c r="A276" i="4"/>
  <c r="A272" i="4"/>
  <c r="A268" i="4"/>
  <c r="A264" i="4"/>
  <c r="A260" i="4"/>
  <c r="A256" i="4"/>
  <c r="A252" i="4"/>
  <c r="A248" i="4"/>
  <c r="A244" i="4"/>
  <c r="A240" i="4"/>
  <c r="A236" i="4"/>
  <c r="A232" i="4"/>
  <c r="A228" i="4"/>
  <c r="A224" i="4"/>
  <c r="A220" i="4"/>
  <c r="A216" i="4"/>
  <c r="A212" i="4"/>
  <c r="A208" i="4"/>
  <c r="A204" i="4"/>
  <c r="A200" i="4"/>
  <c r="A196" i="4"/>
  <c r="A192" i="4"/>
  <c r="A188" i="4"/>
  <c r="A184" i="4"/>
  <c r="A180" i="4"/>
  <c r="A176" i="4"/>
  <c r="A172" i="4"/>
  <c r="A168" i="4"/>
  <c r="A164" i="4"/>
  <c r="A160" i="4"/>
  <c r="A156" i="4"/>
  <c r="A152" i="4"/>
  <c r="A148" i="4"/>
  <c r="A144" i="4"/>
  <c r="A140" i="4"/>
  <c r="A136" i="4"/>
  <c r="A132" i="4"/>
  <c r="A128" i="4"/>
  <c r="A124" i="4"/>
  <c r="A120" i="4"/>
  <c r="A116" i="4"/>
  <c r="A112" i="4"/>
  <c r="A108" i="4"/>
  <c r="A104" i="4"/>
  <c r="A100" i="4"/>
  <c r="A96" i="4"/>
  <c r="A92" i="4"/>
  <c r="A88" i="4"/>
  <c r="A83" i="4"/>
  <c r="A79" i="4"/>
  <c r="A75" i="4"/>
  <c r="A71" i="4"/>
  <c r="A67" i="4"/>
  <c r="A63" i="4"/>
  <c r="A59" i="4"/>
  <c r="A55" i="4"/>
  <c r="A51" i="4"/>
  <c r="A47" i="4"/>
  <c r="A42" i="4"/>
  <c r="A38" i="4"/>
  <c r="A34" i="4"/>
  <c r="A30" i="4"/>
  <c r="A26" i="4"/>
  <c r="A22" i="4"/>
  <c r="A18" i="4"/>
  <c r="A440" i="3"/>
  <c r="A436" i="3"/>
  <c r="A432" i="3"/>
  <c r="A428" i="3"/>
  <c r="A424" i="3"/>
  <c r="A420" i="3"/>
  <c r="A416" i="3"/>
  <c r="A412" i="3"/>
  <c r="A408" i="3"/>
  <c r="A404" i="3"/>
  <c r="A396" i="3"/>
  <c r="A392" i="3"/>
  <c r="A388" i="3"/>
  <c r="A384" i="3"/>
  <c r="A380" i="3"/>
  <c r="A376" i="3"/>
  <c r="A372" i="3"/>
  <c r="A368" i="3"/>
  <c r="A364" i="3"/>
  <c r="A360" i="3"/>
  <c r="A356" i="3"/>
  <c r="A352" i="3"/>
  <c r="A348" i="3"/>
  <c r="A344" i="3"/>
  <c r="A340" i="3"/>
  <c r="A336" i="3"/>
  <c r="A331" i="3"/>
  <c r="A327" i="3"/>
  <c r="A323" i="3"/>
  <c r="A319" i="3"/>
  <c r="A314" i="3"/>
  <c r="A310" i="3"/>
  <c r="A306" i="3"/>
  <c r="A302" i="3"/>
  <c r="A298" i="3"/>
  <c r="A294" i="3"/>
  <c r="A290" i="3"/>
  <c r="A286" i="3"/>
  <c r="A282" i="3"/>
  <c r="A277" i="3"/>
  <c r="A273" i="3"/>
  <c r="A269" i="3"/>
  <c r="A265" i="3"/>
  <c r="A261" i="3"/>
  <c r="A257" i="3"/>
  <c r="A253" i="3"/>
  <c r="A249" i="3"/>
  <c r="A245" i="3"/>
  <c r="A241" i="3"/>
  <c r="A237" i="3"/>
  <c r="A233" i="3"/>
  <c r="A229" i="3"/>
  <c r="A224" i="3"/>
  <c r="A220" i="3"/>
  <c r="A216" i="3"/>
  <c r="A211" i="3"/>
  <c r="A207" i="3"/>
  <c r="A203" i="3"/>
  <c r="A199" i="3"/>
  <c r="A195" i="3"/>
  <c r="A191" i="3"/>
  <c r="A186" i="3"/>
  <c r="A181" i="3"/>
  <c r="A176" i="3"/>
  <c r="A171" i="3"/>
  <c r="A166" i="3"/>
  <c r="A161" i="3"/>
  <c r="A157" i="3"/>
  <c r="A153" i="3"/>
  <c r="A149" i="3"/>
  <c r="A145" i="3"/>
  <c r="A140" i="3"/>
  <c r="A136" i="3"/>
  <c r="A132" i="3"/>
  <c r="A128" i="3"/>
  <c r="A124" i="3"/>
  <c r="A120" i="3"/>
  <c r="A116" i="3"/>
  <c r="A112" i="3"/>
  <c r="A108" i="3"/>
  <c r="A104" i="3"/>
  <c r="A100" i="3"/>
  <c r="A96" i="3"/>
  <c r="A92" i="3"/>
  <c r="A88" i="3"/>
  <c r="A84" i="3"/>
  <c r="A78" i="3"/>
  <c r="A73" i="3"/>
  <c r="A68" i="3"/>
  <c r="A63" i="3"/>
  <c r="A58" i="3"/>
  <c r="A53" i="3"/>
  <c r="A48" i="3"/>
  <c r="A43" i="3"/>
  <c r="A38" i="3"/>
  <c r="A33" i="3"/>
  <c r="A28" i="3"/>
  <c r="A23" i="3"/>
  <c r="A18" i="3"/>
  <c r="A460" i="1"/>
  <c r="A455" i="1"/>
  <c r="A449" i="1"/>
  <c r="A445" i="1"/>
  <c r="A441" i="1"/>
  <c r="A435" i="1"/>
  <c r="A430" i="1"/>
  <c r="A426" i="1"/>
  <c r="A422" i="1"/>
  <c r="A416" i="1"/>
  <c r="A411" i="1"/>
  <c r="A405" i="1"/>
  <c r="A400" i="1"/>
  <c r="A395" i="1"/>
  <c r="A390" i="1"/>
  <c r="A385" i="1"/>
  <c r="A381" i="1"/>
  <c r="A375" i="1"/>
  <c r="A370" i="1"/>
  <c r="A347" i="1"/>
  <c r="A352" i="1" s="1"/>
  <c r="A356" i="1" s="1"/>
  <c r="A361" i="1" s="1"/>
  <c r="A365" i="1" s="1"/>
  <c r="A343" i="1"/>
  <c r="A323" i="1"/>
  <c r="A327" i="1" s="1"/>
  <c r="A331" i="1" s="1"/>
  <c r="A335" i="1" s="1"/>
  <c r="A339" i="1" s="1"/>
  <c r="A318" i="1"/>
  <c r="A295" i="1"/>
  <c r="A299" i="1" s="1"/>
  <c r="A304" i="1" s="1"/>
  <c r="A309" i="1" s="1"/>
  <c r="A313" i="1" s="1"/>
  <c r="A291" i="1"/>
  <c r="A47" i="1"/>
  <c r="A51" i="1" s="1"/>
  <c r="A55" i="1" s="1"/>
  <c r="A59" i="1" s="1"/>
  <c r="A63" i="1" s="1"/>
  <c r="A67" i="1" s="1"/>
  <c r="A71" i="1" s="1"/>
  <c r="A75" i="1" s="1"/>
  <c r="A79" i="1" s="1"/>
  <c r="A83" i="1" s="1"/>
  <c r="A87" i="1" s="1"/>
  <c r="A91" i="1" s="1"/>
  <c r="A95" i="1" s="1"/>
  <c r="A99" i="1" s="1"/>
  <c r="A103" i="1" s="1"/>
  <c r="A107" i="1" s="1"/>
  <c r="A111" i="1" s="1"/>
  <c r="A115" i="1" s="1"/>
  <c r="A119" i="1" s="1"/>
  <c r="A123" i="1" s="1"/>
  <c r="A127" i="1" s="1"/>
  <c r="A131" i="1" s="1"/>
  <c r="A135" i="1" s="1"/>
  <c r="A139" i="1" s="1"/>
  <c r="A144" i="1" s="1"/>
  <c r="A150" i="1" s="1"/>
  <c r="A155" i="1" s="1"/>
  <c r="A159" i="1" s="1"/>
  <c r="A163" i="1" s="1"/>
  <c r="A167" i="1" s="1"/>
  <c r="A171" i="1" s="1"/>
  <c r="A175" i="1" s="1"/>
  <c r="A179" i="1" s="1"/>
  <c r="A183" i="1" s="1"/>
  <c r="A188" i="1" s="1"/>
  <c r="A194" i="1" s="1"/>
  <c r="A199" i="1" s="1"/>
  <c r="A204" i="1" s="1"/>
  <c r="A208" i="1" s="1"/>
  <c r="A213" i="1" s="1"/>
  <c r="A217" i="1" s="1"/>
  <c r="A223" i="1" s="1"/>
  <c r="A227" i="1" s="1"/>
  <c r="A232" i="1" s="1"/>
  <c r="A236" i="1" s="1"/>
  <c r="A240" i="1" s="1"/>
  <c r="A244" i="1" s="1"/>
  <c r="A249" i="1" s="1"/>
  <c r="A254" i="1" s="1"/>
  <c r="A258" i="1" s="1"/>
  <c r="A262" i="1" s="1"/>
  <c r="A267" i="1" s="1"/>
  <c r="A271" i="1" s="1"/>
  <c r="A275" i="1" s="1"/>
  <c r="A279" i="1" s="1"/>
  <c r="A283" i="1" s="1"/>
  <c r="A287" i="1" s="1"/>
  <c r="A43" i="1"/>
  <c r="A38" i="1"/>
  <c r="A34" i="1"/>
  <c r="A25" i="1"/>
  <c r="A21" i="1"/>
  <c r="A18" i="1" l="1"/>
</calcChain>
</file>

<file path=xl/comments1.xml><?xml version="1.0" encoding="utf-8"?>
<comments xmlns="http://schemas.openxmlformats.org/spreadsheetml/2006/main">
  <authors>
    <author>1240761765A</author>
  </authors>
  <commentList>
    <comment ref="J114" authorId="0">
      <text>
        <r>
          <rPr>
            <b/>
            <sz val="9"/>
            <color indexed="81"/>
            <rFont val="Tahoma"/>
            <family val="2"/>
          </rPr>
          <t>1240761765A:</t>
        </r>
        <r>
          <rPr>
            <sz val="9"/>
            <color indexed="81"/>
            <rFont val="Tahoma"/>
            <family val="2"/>
          </rPr>
          <t xml:space="preserve">
Royal Air Force Provided Military Transport</t>
        </r>
      </text>
    </comment>
    <comment ref="J122" authorId="0">
      <text>
        <r>
          <rPr>
            <b/>
            <sz val="9"/>
            <color indexed="81"/>
            <rFont val="Tahoma"/>
            <family val="2"/>
          </rPr>
          <t>1240761765A:</t>
        </r>
        <r>
          <rPr>
            <sz val="9"/>
            <color indexed="81"/>
            <rFont val="Tahoma"/>
            <family val="2"/>
          </rPr>
          <t xml:space="preserve">
Provided by Republic of Taiwan Air Force</t>
        </r>
      </text>
    </comment>
  </commentList>
</comments>
</file>

<file path=xl/sharedStrings.xml><?xml version="1.0" encoding="utf-8"?>
<sst xmlns="http://schemas.openxmlformats.org/spreadsheetml/2006/main" count="8457" uniqueCount="1513">
  <si>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</si>
  <si>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</si>
  <si>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</si>
  <si>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</si>
  <si>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</si>
  <si>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</si>
  <si>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</si>
  <si>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</si>
  <si>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</si>
  <si>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</si>
  <si>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</si>
  <si>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</si>
  <si>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</si>
  <si>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</si>
  <si>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</si>
  <si>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NEGATIVE REPORT</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</si>
  <si>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</si>
  <si>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</si>
  <si>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</si>
  <si>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</si>
  <si>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</si>
  <si>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</si>
  <si>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</si>
  <si>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</si>
  <si>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</si>
  <si>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</si>
  <si>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</si>
  <si>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</si>
  <si>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</si>
  <si>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</si>
  <si>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</si>
  <si>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</si>
  <si>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</si>
  <si>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</si>
  <si>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</si>
  <si>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</si>
  <si>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</si>
  <si>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</si>
  <si>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</si>
  <si>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</si>
  <si>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</si>
  <si>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</si>
  <si>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x</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</si>
  <si>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</si>
  <si>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</si>
  <si>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</si>
  <si>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</si>
  <si>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</si>
  <si>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</si>
  <si>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</si>
  <si>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</si>
  <si>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</si>
  <si>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</si>
  <si>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</si>
  <si>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</si>
  <si>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</si>
  <si>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</si>
  <si>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</si>
  <si>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</si>
  <si>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</si>
  <si>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</si>
  <si>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</si>
  <si>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</si>
  <si>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</si>
  <si>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</si>
  <si>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</si>
  <si>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</si>
  <si>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</si>
  <si>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</si>
  <si>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</si>
  <si>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</si>
  <si>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</si>
  <si>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</si>
  <si>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</si>
  <si>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</si>
  <si>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</si>
  <si>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</si>
  <si>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</si>
  <si>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</si>
  <si>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</si>
  <si>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</si>
  <si>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</si>
  <si>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</si>
  <si>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</si>
  <si>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</si>
  <si>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</si>
  <si>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</si>
  <si>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</si>
  <si>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</si>
  <si>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</si>
  <si>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</si>
  <si>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</si>
  <si>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</si>
  <si>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U.S. Department of the Air Force</t>
  </si>
  <si>
    <t>Tremayne Bunaugh, Ethics Director</t>
  </si>
  <si>
    <t>usaf.pentagon.saf-gc.mbx.saf-gca-ethics-workflow@mail.mil</t>
  </si>
  <si>
    <t>Phoenix, AZ</t>
  </si>
  <si>
    <t>Mountain West Conference</t>
  </si>
  <si>
    <t>Transportation</t>
  </si>
  <si>
    <t>Superintendent</t>
  </si>
  <si>
    <t>Columbus, OH</t>
  </si>
  <si>
    <t>Cadet</t>
  </si>
  <si>
    <t>Lt Col</t>
  </si>
  <si>
    <t>Aaron Celusta</t>
  </si>
  <si>
    <t>Joshua Pickering</t>
  </si>
  <si>
    <t>MSgt</t>
  </si>
  <si>
    <t>Raleigh, NC</t>
  </si>
  <si>
    <t>West Point, NY</t>
  </si>
  <si>
    <t>Lodging</t>
  </si>
  <si>
    <t>Transportation / Ground Transportation</t>
  </si>
  <si>
    <t>AD-24</t>
  </si>
  <si>
    <t>Jonathan C. Jackson</t>
  </si>
  <si>
    <t>Washington, DC</t>
  </si>
  <si>
    <t>Seneca, SC</t>
  </si>
  <si>
    <t>NCEES</t>
  </si>
  <si>
    <t>Col</t>
  </si>
  <si>
    <t>AD-23</t>
  </si>
  <si>
    <t>TSgt</t>
  </si>
  <si>
    <t>Paul Bolt</t>
  </si>
  <si>
    <t>San Diego, CA</t>
  </si>
  <si>
    <t>Jay B. Silveria</t>
  </si>
  <si>
    <t>Lt Gen</t>
  </si>
  <si>
    <t>Denver, CO</t>
  </si>
  <si>
    <t>Conference Fee</t>
  </si>
  <si>
    <t>Lexington, VA</t>
  </si>
  <si>
    <t>The Mellon Foundation</t>
  </si>
  <si>
    <t>University of Arkansas</t>
  </si>
  <si>
    <t>Ground Transportation</t>
  </si>
  <si>
    <t>William Tatum</t>
  </si>
  <si>
    <t>Sharon Dominguez</t>
  </si>
  <si>
    <t>Maj</t>
  </si>
  <si>
    <t>Adrienne DeBauche</t>
  </si>
  <si>
    <t>REPORTING PERIOD: OCTOBER 1, 2017 - MARCH 31, 2018</t>
  </si>
  <si>
    <t>REPORTING PERIOD: APRIL 1 - SEPTEMBER 30, 2018</t>
  </si>
  <si>
    <t>College Park, MD</t>
  </si>
  <si>
    <t>Taxi</t>
  </si>
  <si>
    <t>Registration</t>
  </si>
  <si>
    <t>Atlanta, GA</t>
  </si>
  <si>
    <t>Next Jump Academy</t>
  </si>
  <si>
    <t>New York City, NY</t>
  </si>
  <si>
    <t>Next Jump</t>
  </si>
  <si>
    <t>Course Fees</t>
  </si>
  <si>
    <t>Gregory Rivera</t>
  </si>
  <si>
    <t>Boston, MA</t>
  </si>
  <si>
    <t>Chicago, IL</t>
  </si>
  <si>
    <t>Singapore</t>
  </si>
  <si>
    <t>Taipei, Taiwan</t>
  </si>
  <si>
    <t>Nitasha Garcia</t>
  </si>
  <si>
    <t>American Academy of Pediatrics Annual Leadership Forum</t>
  </si>
  <si>
    <t>Schaumburg, IL</t>
  </si>
  <si>
    <t xml:space="preserve"> </t>
  </si>
  <si>
    <t>Medical Corps Force Management Fellow</t>
  </si>
  <si>
    <t xml:space="preserve">American Academy of Pediatrics </t>
  </si>
  <si>
    <t>Wright State University Boonshoft School of Medicine</t>
  </si>
  <si>
    <t>General Surgery Resident</t>
  </si>
  <si>
    <t>Bethesda, MD</t>
  </si>
  <si>
    <t>Henry M. Jackson Foundation for the Advancement of Military Medicine</t>
  </si>
  <si>
    <t>Ground Transport</t>
  </si>
  <si>
    <t>Maj David Lindholm</t>
  </si>
  <si>
    <t>Capt Jennifer Lynde</t>
  </si>
  <si>
    <t>Henry M. Jackson Foundation</t>
  </si>
  <si>
    <t>Uniformed Services University</t>
  </si>
  <si>
    <t>Rental Car</t>
  </si>
  <si>
    <t>Airfare</t>
  </si>
  <si>
    <t>Program Manager</t>
  </si>
  <si>
    <t>Orlando, FL</t>
  </si>
  <si>
    <t>Arlington, VA</t>
  </si>
  <si>
    <t>Thomas Beachkofsky</t>
  </si>
  <si>
    <t>Lt Col, USAF</t>
  </si>
  <si>
    <t>Dawn Kimberly Hopkins</t>
  </si>
  <si>
    <t>Seattle, WA</t>
  </si>
  <si>
    <t>Air Fare</t>
  </si>
  <si>
    <t>Lt Col Matthew Snyder</t>
  </si>
  <si>
    <t>Leadership Training</t>
  </si>
  <si>
    <t>Doctor</t>
  </si>
  <si>
    <t>American College of Surgeons</t>
  </si>
  <si>
    <t>Milwaukee, WI</t>
  </si>
  <si>
    <t>San Antonio, TX</t>
  </si>
  <si>
    <t>Nashville, TN</t>
  </si>
  <si>
    <t>Benjamin Westcott</t>
  </si>
  <si>
    <t>New York, NY</t>
  </si>
  <si>
    <t>Chaplain</t>
  </si>
  <si>
    <t>Anthony Higdon</t>
  </si>
  <si>
    <t>Society of American Military Engineers</t>
  </si>
  <si>
    <t>Chief, Civil Engineer Division</t>
  </si>
  <si>
    <t>Washington, D.C.</t>
  </si>
  <si>
    <t>Carlos Pinedo</t>
  </si>
  <si>
    <t>Las Cruces, NM</t>
  </si>
  <si>
    <t>Keegan McCoy</t>
  </si>
  <si>
    <t>NASA research grant via Rochester Institute of Technology (RIT)</t>
  </si>
  <si>
    <t>Conf Fee</t>
  </si>
  <si>
    <t>Airport Parking</t>
  </si>
  <si>
    <t>Dallas, TX</t>
  </si>
  <si>
    <t>Ground Trans</t>
  </si>
  <si>
    <t>Cambridge, MA</t>
  </si>
  <si>
    <t>AFIT Faculty</t>
  </si>
  <si>
    <t>John Deaton</t>
  </si>
  <si>
    <t xml:space="preserve">American Institute of Aeronautics and Astronautics </t>
  </si>
  <si>
    <t>Rental Car/Gas</t>
  </si>
  <si>
    <t>Joint University Program for Air Transportation Research</t>
  </si>
  <si>
    <t>Massachusetts Institute of Technology</t>
  </si>
  <si>
    <t>Faculty Member</t>
  </si>
  <si>
    <t>Trans/Misc</t>
  </si>
  <si>
    <t>Meals/Misc</t>
  </si>
  <si>
    <t>James Platte</t>
  </si>
  <si>
    <t>AF Fellow</t>
  </si>
  <si>
    <t>Misc</t>
  </si>
  <si>
    <t>Air fare</t>
  </si>
  <si>
    <t>Dawn Murphy</t>
  </si>
  <si>
    <t>Public Intellectuals Program Meeting</t>
  </si>
  <si>
    <t>National Committee on US-China Relations</t>
  </si>
  <si>
    <t>Christian Watt</t>
  </si>
  <si>
    <t>Orlando, Florida</t>
  </si>
  <si>
    <t>University of Central Florida</t>
  </si>
  <si>
    <t>NextJump Leadership Academy</t>
  </si>
  <si>
    <t>NextJump</t>
  </si>
  <si>
    <t>Philadelphia, PA</t>
  </si>
  <si>
    <t>National Board of Medical Examiners</t>
  </si>
  <si>
    <t>lodging</t>
  </si>
  <si>
    <t>meals</t>
  </si>
  <si>
    <t>The Geneva Foundation</t>
  </si>
  <si>
    <t xml:space="preserve">Meals </t>
  </si>
  <si>
    <t>Internal Medicine Resident</t>
  </si>
  <si>
    <t>Car Rental</t>
  </si>
  <si>
    <t>Intuitive Surgical Inc.</t>
  </si>
  <si>
    <t>Intuitive Surgical, Inc</t>
  </si>
  <si>
    <t>Rosemont, IL</t>
  </si>
  <si>
    <t>Orthopaedic Resident</t>
  </si>
  <si>
    <t>American Academy of Dermatology</t>
  </si>
  <si>
    <t>Gastroenterology Fellow</t>
  </si>
  <si>
    <t>Geneva Foundation</t>
  </si>
  <si>
    <t>Gastroenterologist</t>
  </si>
  <si>
    <t>Aurora, CO</t>
  </si>
  <si>
    <t>Hematology/Oncology Fellow</t>
  </si>
  <si>
    <t>Infectious Disease Clinical Research Program</t>
  </si>
  <si>
    <t>Kansas City, MO</t>
  </si>
  <si>
    <t>1353 Travel Report for DEPARTMENT OF THE AIR FORCE for the reporting period October 1, 2017 - March 31, 2018</t>
  </si>
  <si>
    <t>American Academy of Pediatrics</t>
  </si>
  <si>
    <t>Medical Corps Force Management Felloww</t>
  </si>
  <si>
    <t>03/15-18/2018</t>
  </si>
  <si>
    <t>Col Michael Charlton</t>
  </si>
  <si>
    <t>M Curriculum Working Group Meeting</t>
  </si>
  <si>
    <t>DMRTI Division Chief</t>
  </si>
  <si>
    <t>07/30/2018-07/31/2018</t>
  </si>
  <si>
    <t>Thomas G. Becker</t>
  </si>
  <si>
    <t>Nat'l Institute for Trial Advocacy Public Service Law Pgm</t>
  </si>
  <si>
    <t>Boulder CO</t>
  </si>
  <si>
    <t>Nat'l Inst. For Trial Advocacy</t>
  </si>
  <si>
    <t>Academic Director</t>
  </si>
  <si>
    <t>09/25/2018-9/29/2018</t>
  </si>
  <si>
    <t>Airline bag fees</t>
  </si>
  <si>
    <t>Airport taxi</t>
  </si>
  <si>
    <t>Airport pkg</t>
  </si>
  <si>
    <t>Mileage to airport</t>
  </si>
  <si>
    <t>Elaine Bradley</t>
  </si>
  <si>
    <t>American Society of Military Comptrollers</t>
  </si>
  <si>
    <t>American Society of Military Comoptrollers</t>
  </si>
  <si>
    <t>PDI registration</t>
  </si>
  <si>
    <t>Meals included in the registration:  3 breakfasts, 3 lunches, 1 dinner</t>
  </si>
  <si>
    <t>05/29/2018-06/02/2018</t>
  </si>
  <si>
    <t>Nitasha Garcia (AF ELEM)</t>
  </si>
  <si>
    <t>District I &amp; X Meeting</t>
  </si>
  <si>
    <t>Itasca, IL</t>
  </si>
  <si>
    <t>air fare</t>
  </si>
  <si>
    <t>26 &amp; 29 July</t>
  </si>
  <si>
    <t>Nicole R. Modesitt</t>
  </si>
  <si>
    <t>South Carolina Victims' Rights Week 2018 Conference</t>
  </si>
  <si>
    <t>Columbia, SC</t>
  </si>
  <si>
    <t>South Carolina Victim Assistance Network</t>
  </si>
  <si>
    <t>Conference Fee Waiver</t>
  </si>
  <si>
    <t>Special Victim's Counsel</t>
  </si>
  <si>
    <t>4/09/18-4/12/18</t>
  </si>
  <si>
    <t>Maj Janelle Jenniges</t>
  </si>
  <si>
    <t>NATO METOC Orientation Course Instructor</t>
  </si>
  <si>
    <t>Oberammergau, Germany</t>
  </si>
  <si>
    <t>NATO School Oberammergau, Germany</t>
  </si>
  <si>
    <t>Chief, Space Weather Integration</t>
  </si>
  <si>
    <t>SHAPE Allied Command Transformation</t>
  </si>
  <si>
    <t>09/24/2018, 09/26/2018</t>
  </si>
  <si>
    <t>Doctor, AFWC (Nellis) Director</t>
  </si>
  <si>
    <t>Henry M. Jackson Foundation for Advancement of Military Medicine</t>
  </si>
  <si>
    <t>04/01/2018-04/08/2018</t>
  </si>
  <si>
    <t>Maj Mark Dixon</t>
  </si>
  <si>
    <t>Respiratory Care Conference</t>
  </si>
  <si>
    <t>Spokane, Washington</t>
  </si>
  <si>
    <t>Respiratory Care Society of Washington</t>
  </si>
  <si>
    <t>Doctor, AFWC (Nellis)</t>
  </si>
  <si>
    <t>04/15/2018-04/16/2018</t>
  </si>
  <si>
    <t>Col Virginia Garner</t>
  </si>
  <si>
    <t>Heroes of Military Medicine Award Ceremony</t>
  </si>
  <si>
    <t>DC</t>
  </si>
  <si>
    <t>05/02/2018-05/04/2018</t>
  </si>
  <si>
    <t>TRAVELER NAMEB30:M61</t>
  </si>
  <si>
    <t>CMSgt Nicole Owens</t>
  </si>
  <si>
    <t>5/2/2018-05/04/2018</t>
  </si>
  <si>
    <t>Maj Matthew Hawks</t>
  </si>
  <si>
    <t>Site Directors Meeting for USU</t>
  </si>
  <si>
    <t>09/12/2018-09/15/2018</t>
  </si>
  <si>
    <t>Lt Col Andrew Gilbert</t>
  </si>
  <si>
    <t>Peace Carvin V Orientation</t>
  </si>
  <si>
    <t>Republic of Singapore Air Force</t>
  </si>
  <si>
    <t>Cdr, 428 Fighter Sq, Mt Home AFB</t>
  </si>
  <si>
    <t>Republic of Singapore</t>
  </si>
  <si>
    <t>08/04/2018-08/11/2018</t>
  </si>
  <si>
    <t>Col Joseph Kunkel</t>
  </si>
  <si>
    <t>Commander, 366 FW, Mt Home AFB</t>
  </si>
  <si>
    <t>Lt Gen Mark Kelly</t>
  </si>
  <si>
    <t>CONJEFAMER</t>
  </si>
  <si>
    <t>Panama</t>
  </si>
  <si>
    <t>National Aeronaval Services of Panama</t>
  </si>
  <si>
    <t>Commander, 12 AF</t>
  </si>
  <si>
    <t>06/18/2018-06/22/2018</t>
  </si>
  <si>
    <t>Maj Justin Davis</t>
  </si>
  <si>
    <t>Executive Officer to Cdr</t>
  </si>
  <si>
    <t>MSgt Mycal King</t>
  </si>
  <si>
    <t>AHRA Annual Meeting</t>
  </si>
  <si>
    <t>Association for Medical Imaging Management</t>
  </si>
  <si>
    <t>Conference Registration Fee</t>
  </si>
  <si>
    <t>Flight Chief Diagnostic Imaging</t>
  </si>
  <si>
    <t>07/21/2018-07/26/2018</t>
  </si>
  <si>
    <t>Maj Sarah Noppen</t>
  </si>
  <si>
    <t>Total Vaginal Hysterectomy Preceptorship</t>
  </si>
  <si>
    <t>Wilmington, DE</t>
  </si>
  <si>
    <t>Ethicon</t>
  </si>
  <si>
    <t>Dr., OBGYN</t>
  </si>
  <si>
    <t>Lt Col Aasia Pederson</t>
  </si>
  <si>
    <t>Sports Medicine Course</t>
  </si>
  <si>
    <t>Naples, FL</t>
  </si>
  <si>
    <t>Surgeon</t>
  </si>
  <si>
    <t>Arthrex</t>
  </si>
  <si>
    <t>09/26/2018-09/29/2018</t>
  </si>
  <si>
    <t>Lt Gen Jeffrey Harrigian</t>
  </si>
  <si>
    <t>Geographic Combatant Command CHOD Conference</t>
  </si>
  <si>
    <t>Riyadh, KSA</t>
  </si>
  <si>
    <t>US CENCOM and Kingdom of Saudi Arabia Ministry of Defense</t>
  </si>
  <si>
    <t>Commander, USAFCENT</t>
  </si>
  <si>
    <t>USCENTCOM and KSA</t>
  </si>
  <si>
    <t>04/16/2018-04/20/2018</t>
  </si>
  <si>
    <t>Thomas Burks</t>
  </si>
  <si>
    <t>Intersections of Commercial and National Security Space Conference</t>
  </si>
  <si>
    <t xml:space="preserve">Univ of Nebraska, College of Law </t>
  </si>
  <si>
    <t>AFIT CI Student</t>
  </si>
  <si>
    <t>University of Nebraska-Lincoln</t>
  </si>
  <si>
    <t>19-22 Sep 18</t>
  </si>
  <si>
    <t>Patrick Clary</t>
  </si>
  <si>
    <t>Daniel Finkenstadt</t>
  </si>
  <si>
    <t>Dissertation Research Project (Focus groups)</t>
  </si>
  <si>
    <t>Kelly AFB, TX</t>
  </si>
  <si>
    <t>UNC Business School</t>
  </si>
  <si>
    <t>UNC Chapel Hill, Kenan-Flagler Business School Marketing Program</t>
  </si>
  <si>
    <t>10-12 Jul 18</t>
  </si>
  <si>
    <t>Gregory Frey</t>
  </si>
  <si>
    <t>2018 American Control Conference (ACC) sponsored by AIAA &amp; IEEE</t>
  </si>
  <si>
    <t>Univ of Michigan</t>
  </si>
  <si>
    <t>26 Jun - 2 Jul 18</t>
  </si>
  <si>
    <t>POV Mileage/Parking</t>
  </si>
  <si>
    <t>Hayden Roberts</t>
  </si>
  <si>
    <t>Conf/Workshop - Hip &amp; Knee</t>
  </si>
  <si>
    <t>Univ of AZ and Johnson &amp; Johnon</t>
  </si>
  <si>
    <t xml:space="preserve">Univ of AZ and Johnson &amp; Johnson </t>
  </si>
  <si>
    <t>6-8 Sep 18</t>
  </si>
  <si>
    <t>Alex Hatch</t>
  </si>
  <si>
    <t>Research Course for Child Abuse Profs</t>
  </si>
  <si>
    <t>Kempe Center on Child Abuse</t>
  </si>
  <si>
    <t>22-27 Jul 18</t>
  </si>
  <si>
    <t>Jonathan Thomas</t>
  </si>
  <si>
    <t>American Academy of Neurology Annual Meeting</t>
  </si>
  <si>
    <t>Los Angeles, CA</t>
  </si>
  <si>
    <t>Kessler Foundation</t>
  </si>
  <si>
    <t>23-27 Apr 18</t>
  </si>
  <si>
    <t>Casey Evans</t>
  </si>
  <si>
    <t>AFCLC LITE to Madagascar</t>
  </si>
  <si>
    <t>Nosy Be, Madagascar</t>
  </si>
  <si>
    <t>MIT and CODE for Humanity International</t>
  </si>
  <si>
    <t>4 Jun - 31 Jul 18</t>
  </si>
  <si>
    <t>Amanda Streetman</t>
  </si>
  <si>
    <t>Intersections of Commercial and National Security Space Conf</t>
  </si>
  <si>
    <t>University of Nebraska-Lincoln College of Law</t>
  </si>
  <si>
    <t>Airline</t>
  </si>
  <si>
    <t>9/19-22/18</t>
  </si>
  <si>
    <t>Alexandra Holtsclaw</t>
  </si>
  <si>
    <t>Space Law Conference:
"Intersections of Commercial and National Security Space"</t>
  </si>
  <si>
    <t>Univ of Nebraska-Lincoln College of Law</t>
  </si>
  <si>
    <t>19-22 Sept 18</t>
  </si>
  <si>
    <t>Kevin J. Pastoor</t>
  </si>
  <si>
    <t>Site visit with commercial research collaborator</t>
  </si>
  <si>
    <t>Metropolis, IL</t>
  </si>
  <si>
    <t>Colorado School of Mines</t>
  </si>
  <si>
    <t>20-22 Sep 2018</t>
  </si>
  <si>
    <t>Trenton White</t>
  </si>
  <si>
    <t>University of Nebraska-Lincoln, College of Law</t>
  </si>
  <si>
    <t>Caleb Leestma</t>
  </si>
  <si>
    <t>La Quinta General Managers Training</t>
  </si>
  <si>
    <t>Conyers, GA</t>
  </si>
  <si>
    <t>La Quinta</t>
  </si>
  <si>
    <t>AFIT ED w/ Ind Student</t>
  </si>
  <si>
    <t>10-14 Sep 18</t>
  </si>
  <si>
    <t>Casey Hawkins</t>
  </si>
  <si>
    <t xml:space="preserve">Spring Conference of the Electrochemical Society </t>
  </si>
  <si>
    <t>Dr. Luisa Whittaker-Brooks (PhD research advisor)</t>
  </si>
  <si>
    <t>The Electrochemical Society</t>
  </si>
  <si>
    <t>13-17 May 18</t>
  </si>
  <si>
    <t>Brandon McClung</t>
  </si>
  <si>
    <t>Site Visit to Oakland CA for Wildfire and Wind Investigation</t>
  </si>
  <si>
    <t>Oakland, CA</t>
  </si>
  <si>
    <t>University of Wash Atmospheric Science Dpt</t>
  </si>
  <si>
    <t>University of 
Washington
Atmospheric Science
Department</t>
  </si>
  <si>
    <t>25-26 Aug 18</t>
  </si>
  <si>
    <t>Ryan Howell</t>
  </si>
  <si>
    <t xml:space="preserve"> Visit Univ of Nev-Reno's Hot Mix Asphalt laboratory &amp; partner with Prof Adam Hand</t>
  </si>
  <si>
    <t>Reno, NV</t>
  </si>
  <si>
    <t xml:space="preserve"> Univ of Wash</t>
  </si>
  <si>
    <t>12-16 Aug 18</t>
  </si>
  <si>
    <t>Tyler Peery</t>
  </si>
  <si>
    <t>SPIE 2018 Optical Engineering + Applications Conference</t>
  </si>
  <si>
    <t>Rochester Institute of Technology</t>
  </si>
  <si>
    <t>18-21 Aug 18</t>
  </si>
  <si>
    <t>Michael McClelland</t>
  </si>
  <si>
    <t>SPIE Conference travel to present completed research</t>
  </si>
  <si>
    <t>15-19 Apr 18</t>
  </si>
  <si>
    <t>Eric Nott</t>
  </si>
  <si>
    <t>US National Ski Team Med Support</t>
  </si>
  <si>
    <t>La Parva, Chile</t>
  </si>
  <si>
    <t>The Steadman Clinic</t>
  </si>
  <si>
    <t>23 Aug - 1 Sep 18</t>
  </si>
  <si>
    <t>Joseph Smathers</t>
  </si>
  <si>
    <t>Satellite Hospital Daily Travel</t>
  </si>
  <si>
    <t>San Joaquin, CA</t>
  </si>
  <si>
    <t>VCME</t>
  </si>
  <si>
    <t xml:space="preserve">POV Mileage </t>
  </si>
  <si>
    <t>5-22 Jun 18</t>
  </si>
  <si>
    <t>Jason Miner</t>
  </si>
  <si>
    <t>Advanced Critical Care Ultrasound Course</t>
  </si>
  <si>
    <t>Wright State Univ School of Med</t>
  </si>
  <si>
    <t>4-7 Aug 18</t>
  </si>
  <si>
    <t>Course Fee</t>
  </si>
  <si>
    <t>Shannan McCann</t>
  </si>
  <si>
    <t>Camp Discovery Medical Staff</t>
  </si>
  <si>
    <t>Burton, TX</t>
  </si>
  <si>
    <t>4-10 Aug 18</t>
  </si>
  <si>
    <t>SPIE: Optics + Photonics 2018 conference</t>
  </si>
  <si>
    <t>18-24 Aug 18</t>
  </si>
  <si>
    <t>Athens, OH</t>
  </si>
  <si>
    <t>Fed Aviation Admin</t>
  </si>
  <si>
    <t>23-25 Jul 18</t>
  </si>
  <si>
    <t>Joseph W. Brown</t>
  </si>
  <si>
    <t>Summer Workshop on Analysis of Military Operations and Strategy</t>
  </si>
  <si>
    <t xml:space="preserve">Ithaca, NY </t>
  </si>
  <si>
    <t>Saltzman Institute of War and Peace Studies, Columbia University</t>
  </si>
  <si>
    <t>8-22 Jul 18</t>
  </si>
  <si>
    <t>Peter A. Saunders</t>
  </si>
  <si>
    <t>JCSDA Summer Colloquium on Satellite Data Assimilation</t>
  </si>
  <si>
    <t>Bozeman, MT</t>
  </si>
  <si>
    <t>Colorado State University</t>
  </si>
  <si>
    <t>Development Testbed Centers</t>
  </si>
  <si>
    <t>21 Jul - 5 Aug 18</t>
  </si>
  <si>
    <t>Raymond Rounds</t>
  </si>
  <si>
    <t>Institute for Qualitative and Multi-Method Research (IQMR)</t>
  </si>
  <si>
    <t>Syracuse, NY</t>
  </si>
  <si>
    <t>Georgetown University</t>
  </si>
  <si>
    <t xml:space="preserve">AFIT CI Student </t>
  </si>
  <si>
    <t>17-29 Jun 18</t>
  </si>
  <si>
    <t>Tyler West</t>
  </si>
  <si>
    <t>American Meteorological Society (AMS) Mountain Meteorology Conference</t>
  </si>
  <si>
    <t>Santa Fe, NM</t>
  </si>
  <si>
    <t>University of Utah</t>
  </si>
  <si>
    <t>AMS &amp; University of Utah</t>
  </si>
  <si>
    <t>24-29 Jun 18</t>
  </si>
  <si>
    <t>Dylan Dempster</t>
  </si>
  <si>
    <t>2018 Asia Oceania Geosciences Society Conference</t>
  </si>
  <si>
    <t>Honolulu, Hawaii</t>
  </si>
  <si>
    <t>University of California, Los Angeles</t>
  </si>
  <si>
    <t>3-9 Jun 18</t>
  </si>
  <si>
    <t>Aerospace Medical Association 89th Annual Scientific Meeting</t>
  </si>
  <si>
    <t>Dallas TX</t>
  </si>
  <si>
    <t>Colorado Univ- Boulder</t>
  </si>
  <si>
    <t>7-11 May 18</t>
  </si>
  <si>
    <t>NASA SUITS Workshop</t>
  </si>
  <si>
    <t xml:space="preserve"> Houston TX</t>
  </si>
  <si>
    <t xml:space="preserve"> Colorado Univ- Boulder</t>
  </si>
  <si>
    <t xml:space="preserve"> AFIT CI Student </t>
  </si>
  <si>
    <t>20-25 May 18</t>
  </si>
  <si>
    <t>Nathan Greiner</t>
  </si>
  <si>
    <t>Pressure vessel casting trial</t>
  </si>
  <si>
    <t>Manitowoc, WI</t>
  </si>
  <si>
    <t xml:space="preserve"> Oak Ridge National Lab</t>
  </si>
  <si>
    <t xml:space="preserve">Oak Ridge National Lab </t>
  </si>
  <si>
    <t>5-6 Apr 18</t>
  </si>
  <si>
    <t xml:space="preserve"> Nicholas Sousaris</t>
  </si>
  <si>
    <t xml:space="preserve"> 2018 Annual  Meeting of the American Roentgen Ray Society</t>
  </si>
  <si>
    <t xml:space="preserve"> Beaumont Health-Royal Oak</t>
  </si>
  <si>
    <t>Beaumont Health-Royal Oak</t>
  </si>
  <si>
    <t>22-25 Apr 18</t>
  </si>
  <si>
    <t>Wesly S. Anderson</t>
  </si>
  <si>
    <t xml:space="preserve"> Air Force Research Laboratory (AFRL) Rocket Rotating Detonation Engine Meeting</t>
  </si>
  <si>
    <t>Edwards AFB, CA</t>
  </si>
  <si>
    <t xml:space="preserve"> Purdue University</t>
  </si>
  <si>
    <t xml:space="preserve"> AFRL Rocket Lab</t>
  </si>
  <si>
    <t>11-13 Apr 18</t>
  </si>
  <si>
    <t xml:space="preserve"> Conference/33rd Conference on Hurricanes and Tropical Meteorology</t>
  </si>
  <si>
    <t>Ponte Vedra, FL</t>
  </si>
  <si>
    <t xml:space="preserve"> University of Utah</t>
  </si>
  <si>
    <t>15-20 Apr 18</t>
  </si>
  <si>
    <t>Vivien Miller</t>
  </si>
  <si>
    <t xml:space="preserve"> International &amp;RQIHUHQFH on
Radioecology and Environmental
Radioactivity (ICRER) </t>
  </si>
  <si>
    <t>Berlin, Germany</t>
  </si>
  <si>
    <t xml:space="preserve"> Colorado State
Colorado State University</t>
  </si>
  <si>
    <t>Colorado State
University</t>
  </si>
  <si>
    <t>2-9 Sep 18</t>
  </si>
  <si>
    <t>Health Physics Annual Meeting</t>
  </si>
  <si>
    <t xml:space="preserve"> Health Physics
Society</t>
  </si>
  <si>
    <t xml:space="preserve">Health Physics
Society </t>
  </si>
  <si>
    <t>8-13 Jul 18</t>
  </si>
  <si>
    <t>Heidi Ries</t>
  </si>
  <si>
    <t xml:space="preserve"> Norfolk State University Materials Science Advisory Board</t>
  </si>
  <si>
    <t>Norfolk, VA</t>
  </si>
  <si>
    <t xml:space="preserve"> Norfolk State University</t>
  </si>
  <si>
    <t>AFIT Staff</t>
  </si>
  <si>
    <t>26-27 Jul, 2018</t>
  </si>
  <si>
    <t xml:space="preserve"> Todd Stewart</t>
  </si>
  <si>
    <t xml:space="preserve">Participated in the Wright State Univ Provost Search Committee </t>
  </si>
  <si>
    <t xml:space="preserve">Wright State Univ  </t>
  </si>
  <si>
    <t>3-5 Apr 18</t>
  </si>
  <si>
    <t xml:space="preserve"> Laurence D. Merkle</t>
  </si>
  <si>
    <t xml:space="preserve"> 3rd Workshop on Developing Empirical Education Research Studies</t>
  </si>
  <si>
    <t>Charlottesville, VA</t>
  </si>
  <si>
    <t xml:space="preserve"> University of Alabama</t>
  </si>
  <si>
    <t>16-19 Jul 18</t>
  </si>
  <si>
    <t xml:space="preserve">John Raquet </t>
  </si>
  <si>
    <t xml:space="preserve"> University of California Riverside Distinguished Speaker Series</t>
  </si>
  <si>
    <t>Riverside, CA</t>
  </si>
  <si>
    <t xml:space="preserve"> UC Riverside</t>
  </si>
  <si>
    <t xml:space="preserve">AFIT Faculty </t>
  </si>
  <si>
    <t>UC Riverside</t>
  </si>
  <si>
    <t>20-21 May 18</t>
  </si>
  <si>
    <t>Conference on US Security Assistance</t>
  </si>
  <si>
    <t>Local Trans</t>
  </si>
  <si>
    <t>04/11/2018-04/13/2018</t>
  </si>
  <si>
    <t>Symposium: China's Westward Pivot</t>
  </si>
  <si>
    <t>Fayetteville, Arkansas</t>
  </si>
  <si>
    <t>04/12/2018-04/14/2018</t>
  </si>
  <si>
    <t>Hitachi Fellows Annual Meeting</t>
  </si>
  <si>
    <t>Hitachi Corp</t>
  </si>
  <si>
    <t>Council on Foreign Relations</t>
  </si>
  <si>
    <t>05/17/2018-05/18/2018</t>
  </si>
  <si>
    <t>Vanya Bellinger</t>
  </si>
  <si>
    <t>Conference: "Recovering Forgotten History"</t>
  </si>
  <si>
    <t>Warsaw, Poland</t>
  </si>
  <si>
    <t>Polish Heritage Foundation</t>
  </si>
  <si>
    <t>Local Trans/Misc</t>
  </si>
  <si>
    <t>Alisah Miles</t>
  </si>
  <si>
    <t>Special Libraries Association Annual Conference</t>
  </si>
  <si>
    <t>Baltomore, Maryland</t>
  </si>
  <si>
    <t>Special Libraries Assocaition</t>
  </si>
  <si>
    <t>AU Library Employee</t>
  </si>
  <si>
    <t>Special Libraries Association</t>
  </si>
  <si>
    <t>06/11/2018-06/13/2018</t>
  </si>
  <si>
    <t>Registration Fee</t>
  </si>
  <si>
    <t>San Francisco, California</t>
  </si>
  <si>
    <t>`</t>
  </si>
  <si>
    <t>07/26/2018-07/30/2018</t>
  </si>
  <si>
    <t>Jeremy Sparks</t>
  </si>
  <si>
    <t>Cyber Equipment Testing Program event</t>
  </si>
  <si>
    <t>Pearl Harbor, Hawai'i</t>
  </si>
  <si>
    <t>Massachusetts Institute of Technology Lincoln Lab Program</t>
  </si>
  <si>
    <t>09/21/2018-09/25/2018</t>
  </si>
  <si>
    <t>MSgt Colette Roe</t>
  </si>
  <si>
    <t>Next Jump Leadership Academy</t>
  </si>
  <si>
    <t>Course Fees for NXJ Academy</t>
  </si>
  <si>
    <t>Superintendent of Operational Excellence</t>
  </si>
  <si>
    <t>5-9 Jun 2018</t>
  </si>
  <si>
    <t>Brig Gen Todd D. Canterbury</t>
  </si>
  <si>
    <t>Singapore National Day Celebration</t>
  </si>
  <si>
    <t>Commander, 56th Fighter Wing</t>
  </si>
  <si>
    <t>4-10 Aug 2018</t>
  </si>
  <si>
    <t>Lt Col Mark D. Whisler</t>
  </si>
  <si>
    <t>Commander, 425th Fighter Squadron</t>
  </si>
  <si>
    <t>Maj James Barnes</t>
  </si>
  <si>
    <t>SOMOS/AANA Lab</t>
  </si>
  <si>
    <t>Society of Military Orthopedic Surgeons (SOMOS) and Arthroscopy Association of North America (AANA)</t>
  </si>
  <si>
    <t>Orthopedic Surgeon</t>
  </si>
  <si>
    <t xml:space="preserve">SOMOS/AANA </t>
  </si>
  <si>
    <t>17-19 Aug 2018</t>
  </si>
  <si>
    <t>Book</t>
  </si>
  <si>
    <t>David Graham, Maj</t>
  </si>
  <si>
    <t>DaVinci Xi Advanced Thoracic Procedures Training Course</t>
  </si>
  <si>
    <t>Sunnyvale,CA</t>
  </si>
  <si>
    <t>Acting Chief, Cardiothoracic Surgery</t>
  </si>
  <si>
    <t>Intuitive Surgical</t>
  </si>
  <si>
    <t>4/15/2018-04/16/2018</t>
  </si>
  <si>
    <t>Dale Capener, Lt Col</t>
  </si>
  <si>
    <t>2018 Special Operations Medical Association Scientific Assembly and Exhibition</t>
  </si>
  <si>
    <t>Charlotte, NC</t>
  </si>
  <si>
    <t>Special Operatons Medical Assocition (SOMA)</t>
  </si>
  <si>
    <t>Staff Anethesiologist</t>
  </si>
  <si>
    <t>5/13/2018-05/15/2018</t>
  </si>
  <si>
    <t>Larissa Weir, Lt Col</t>
  </si>
  <si>
    <t>Intuitive Surgical daVinci Xi Robotic Basic Training</t>
  </si>
  <si>
    <t>Director, Residency Program (OB/GYN)</t>
  </si>
  <si>
    <t>04/05/2018-04/07/2018</t>
  </si>
  <si>
    <t>Woodson Jones, MD</t>
  </si>
  <si>
    <t>2018-19 AAMC GME Leadership Development Certificate Program</t>
  </si>
  <si>
    <t>Association of American Medical Colleges</t>
  </si>
  <si>
    <t>Dean/DIO, SAUSHEC</t>
  </si>
  <si>
    <t>04/25/2018-05/01/2018</t>
  </si>
  <si>
    <t>Jason Okulicz, Lt Col</t>
  </si>
  <si>
    <t>Henry M Jackson Foundation</t>
  </si>
  <si>
    <t xml:space="preserve">Chief, Infectious Disease Service </t>
  </si>
  <si>
    <t>04/15/2018-04/18/2018</t>
  </si>
  <si>
    <t>Kelvin Bush, Maj</t>
  </si>
  <si>
    <t>European Cardia Arrhythmia Society's 14th Annual Congress 2018</t>
  </si>
  <si>
    <t>Paris, France</t>
  </si>
  <si>
    <t>Cardiology Fellow</t>
  </si>
  <si>
    <t>15-20 Apr 2018</t>
  </si>
  <si>
    <t>Florin Andreca, Lt Col</t>
  </si>
  <si>
    <t>2018 American Society of Clinical Oncology Annual Meeting</t>
  </si>
  <si>
    <t>31 May - 5 Jun 2018</t>
  </si>
  <si>
    <t>Taylor Bates, Capt</t>
  </si>
  <si>
    <t>Resident Basic Fracture Course</t>
  </si>
  <si>
    <t>Austin, TX</t>
  </si>
  <si>
    <t>Stryker Orthopaedics</t>
  </si>
  <si>
    <t>27-28 Apr 2018</t>
  </si>
  <si>
    <t>David Ahn, Capt</t>
  </si>
  <si>
    <t>Basic Principles in Core Oral and Maxillofacial Surgery</t>
  </si>
  <si>
    <t>Tuttlingen, Germany</t>
  </si>
  <si>
    <t>Oral &amp; Maxillofacial Surgery, Chief Resident</t>
  </si>
  <si>
    <t>21-29 Apr 2018</t>
  </si>
  <si>
    <t>Brent Huddleston, Lt Col</t>
  </si>
  <si>
    <t>Laboratory Accreditation Inspection</t>
  </si>
  <si>
    <t>St Louis, MO</t>
  </si>
  <si>
    <t>College of American Pathologists</t>
  </si>
  <si>
    <t>Cytopathologist</t>
  </si>
  <si>
    <t>10-12 Jun 18</t>
  </si>
  <si>
    <t>Michael Brazeau, Capt</t>
  </si>
  <si>
    <t>Digestive Disease Week 2018</t>
  </si>
  <si>
    <t>1-6 Jun 2018</t>
  </si>
  <si>
    <t>Rosalyn Miller, Civ</t>
  </si>
  <si>
    <t>Ada, OK</t>
  </si>
  <si>
    <t>Cytopathology Supervisor</t>
  </si>
  <si>
    <t>20-22 Jun 2018</t>
  </si>
  <si>
    <t>Taylor Barnett, Capt</t>
  </si>
  <si>
    <t>George Shahin, Capt</t>
  </si>
  <si>
    <t>CONTESSA US Investigator Meeting</t>
  </si>
  <si>
    <t>Odonate Therapeutics</t>
  </si>
  <si>
    <t>16-17 May 2018</t>
  </si>
  <si>
    <t>John Gancayco, Lt Col</t>
  </si>
  <si>
    <t>American Gastroenterology Association</t>
  </si>
  <si>
    <t>Program Director, Gastroenterology Fellowship Progam</t>
  </si>
  <si>
    <t>2-5 Jun 2018</t>
  </si>
  <si>
    <t>Benjamin Huang, Capt</t>
  </si>
  <si>
    <t>Home Dialysis University for Fellows Conference</t>
  </si>
  <si>
    <t>International Society for Peritoneal Dialysis (ISPD)</t>
  </si>
  <si>
    <t>Nephrology Fellow</t>
  </si>
  <si>
    <t>Interanational Society for Peritoneal Dialysis (ISPD)</t>
  </si>
  <si>
    <t>20-22 May 2018</t>
  </si>
  <si>
    <t>Megan York, Capt</t>
  </si>
  <si>
    <t>Project Simulation Event</t>
  </si>
  <si>
    <t>Staff Nurse Anesthetist</t>
  </si>
  <si>
    <t>28 Jul - 1 Aug 2018</t>
  </si>
  <si>
    <t>Howard Lee, Capt</t>
  </si>
  <si>
    <t>Patrick Gaus, Capt</t>
  </si>
  <si>
    <t>Osteoscience Foundation Clinical Observership Program</t>
  </si>
  <si>
    <t>Sarasota, FL</t>
  </si>
  <si>
    <t>Osteo Science Foundation</t>
  </si>
  <si>
    <t>Oral Surgery Resident</t>
  </si>
  <si>
    <t>Osteo Sceience Foundation</t>
  </si>
  <si>
    <t>3-16 Jun 2018</t>
  </si>
  <si>
    <t>Malpractice Insurance</t>
  </si>
  <si>
    <t>Heather Yun, Lt Col</t>
  </si>
  <si>
    <t xml:space="preserve">USMLE Microbiology &amp; Immunology Test Materials Development Committee Meeting </t>
  </si>
  <si>
    <t>Deputy Chief, Department of Medicine</t>
  </si>
  <si>
    <t>15-18 Jul 2018</t>
  </si>
  <si>
    <t xml:space="preserve">ID Week, Infectious Disease Society of America (IDSA) Annual Meeting </t>
  </si>
  <si>
    <t>2-5 Oct 2018</t>
  </si>
  <si>
    <t>Joseph Cook, Lt Col</t>
  </si>
  <si>
    <t>The William M. Steinberg Board Review in Gastrenterology and Best Practices Course</t>
  </si>
  <si>
    <t>24-28 Aug 2018</t>
  </si>
  <si>
    <t>Xiaoming Shi, Capt</t>
  </si>
  <si>
    <t>The daVinci Xi Robotic Basic Training</t>
  </si>
  <si>
    <t>1-4 Aug 2018</t>
  </si>
  <si>
    <t>Keith Earley, Maj</t>
  </si>
  <si>
    <t>CSE 3rd Year Resident Program</t>
  </si>
  <si>
    <t>Fort Worth, TX</t>
  </si>
  <si>
    <t>Post Graduate Health Education LLC</t>
  </si>
  <si>
    <t>Travel/Mileage</t>
  </si>
  <si>
    <t>Ophthalmology Resident</t>
  </si>
  <si>
    <t>9-11 Aug 2018</t>
  </si>
  <si>
    <t>Karina Bostick, Capt</t>
  </si>
  <si>
    <t>Timothy Soeken, Capt</t>
  </si>
  <si>
    <t>Jordan Hauschild, Capt</t>
  </si>
  <si>
    <t>The Rocky Mountain Resident Anthroplasty Course</t>
  </si>
  <si>
    <t>16-18 Aug 2018</t>
  </si>
  <si>
    <t>William McClain, Capt</t>
  </si>
  <si>
    <t>Andrew Murtha, Capt</t>
  </si>
  <si>
    <t>Tierney Shannon, Capt</t>
  </si>
  <si>
    <t>Nicole Chapell, Lt Col</t>
  </si>
  <si>
    <t>2018 American College of Obstetricians and Gynecologist Armed Forces District Annual Meeting</t>
  </si>
  <si>
    <t>Honolulu, HI</t>
  </si>
  <si>
    <t>Staff, Gynecologic Oncology Service</t>
  </si>
  <si>
    <t>21-26 Sep 2018</t>
  </si>
  <si>
    <t>Bryan Ramsey, Maj</t>
  </si>
  <si>
    <t>American College of Cardiology Cardiovascular Overview and Board Review Course</t>
  </si>
  <si>
    <t>3-8 Sep 2018</t>
  </si>
  <si>
    <t>Alexandra Smith, Capt</t>
  </si>
  <si>
    <t>European Society of Cardiology Congress 2018</t>
  </si>
  <si>
    <t>Munich, Germany</t>
  </si>
  <si>
    <t>23-28 Aug 2018</t>
  </si>
  <si>
    <t>Jeanna West-Miles, Capt</t>
  </si>
  <si>
    <t>J. Kiffen Penry Epilepsy Education Programs</t>
  </si>
  <si>
    <t>Winston-Salem, NC</t>
  </si>
  <si>
    <t>J. Kiffin Penry Epilepsy Education Programs</t>
  </si>
  <si>
    <t>Neurology Resident</t>
  </si>
  <si>
    <t>J. Kiffen Penry Residents Epilepsy Program</t>
  </si>
  <si>
    <t>25-29 Sep 2018</t>
  </si>
  <si>
    <t>Tuition</t>
  </si>
  <si>
    <t>John Magulick, Maj</t>
  </si>
  <si>
    <t>The American Society for Gastrointestinal Endoscopy-Japan Gastroenterological Endoscopy Society Masters Course</t>
  </si>
  <si>
    <t>20-23 Sep 2018</t>
  </si>
  <si>
    <t>Reinaldo Morales, Maj</t>
  </si>
  <si>
    <t>Abdominal Wall Preceptorshiop-Optimizing Surgical Outcomes in Complex Abdominal Wall Reconstruction</t>
  </si>
  <si>
    <t>Allergan</t>
  </si>
  <si>
    <t xml:space="preserve">General Surgeon </t>
  </si>
  <si>
    <t>24-25 Sep 2018</t>
  </si>
  <si>
    <t>McKayla Riggs, Capt</t>
  </si>
  <si>
    <t>2018 Armed Forces District Annual Meeting</t>
  </si>
  <si>
    <t>The American College of Obstetricians and Gynecologists</t>
  </si>
  <si>
    <t>OB/GYN Resident</t>
  </si>
  <si>
    <t>22-26 Sep 2018</t>
  </si>
  <si>
    <t>Other/Hotel Tax</t>
  </si>
  <si>
    <t>Michael H. Dunn</t>
  </si>
  <si>
    <t>New Approaches to Cybersecurity Education (NACE) Workshop</t>
  </si>
  <si>
    <t>New Orleans, LA</t>
  </si>
  <si>
    <t>Purdue University</t>
  </si>
  <si>
    <t xml:space="preserve">      Transportation                </t>
  </si>
  <si>
    <t xml:space="preserve">            Lodging                 </t>
  </si>
  <si>
    <t>Instructor, Undergraduate Cyber Training</t>
  </si>
  <si>
    <t>CERIAS, CISSE, and NSF</t>
  </si>
  <si>
    <t>06/09/2018 06/10/2018</t>
  </si>
  <si>
    <t xml:space="preserve">             Meals              </t>
  </si>
  <si>
    <t>Daniel Kazumura</t>
  </si>
  <si>
    <t>Air Force Sergeants Association (AFSA) Professional Airman's Conference</t>
  </si>
  <si>
    <t>Bossier City, LA</t>
  </si>
  <si>
    <t>Air Force Sergeants Association Chapter 652</t>
  </si>
  <si>
    <t>President Air Force Sergeants Association (AFSA) Chapter 652</t>
  </si>
  <si>
    <t>Air Force Sergeants Association (AFSA)</t>
  </si>
  <si>
    <t>4/5/2018-04/08/2018</t>
  </si>
  <si>
    <t>Kevin Seney</t>
  </si>
  <si>
    <t>Sergeant of Arms, AFSA Chapter 652</t>
  </si>
  <si>
    <t>04/05/2018-04/08/2018</t>
  </si>
  <si>
    <t>Meshanda Lopez</t>
  </si>
  <si>
    <t>Communications, AFSA Chapter 652</t>
  </si>
  <si>
    <t>Gary Jeffrey</t>
  </si>
  <si>
    <t>Member AFSA Chapter 652</t>
  </si>
  <si>
    <t>AFSA International Convention, Professional Airman's Conference</t>
  </si>
  <si>
    <t>Air Force Sergeants Association</t>
  </si>
  <si>
    <t>08/25/2018-08/30/2018</t>
  </si>
  <si>
    <t>Membership Trustee AFSA Chapter 652</t>
  </si>
  <si>
    <t>Matthew Ketterling</t>
  </si>
  <si>
    <t>Program Manager, AFSA Chapter 652</t>
  </si>
  <si>
    <t>Parking</t>
  </si>
  <si>
    <t>Vice President AFSA Chapter 652</t>
  </si>
  <si>
    <t>Col Russell Driggers</t>
  </si>
  <si>
    <t>Military Training Flight Conference</t>
  </si>
  <si>
    <t>London, England</t>
  </si>
  <si>
    <t>SMI</t>
  </si>
  <si>
    <t>Conference attendance</t>
  </si>
  <si>
    <t>80 FTW/CC</t>
  </si>
  <si>
    <t>10/09/2018 - 10/12/2018</t>
  </si>
  <si>
    <t>Thomas B. Mazzone</t>
  </si>
  <si>
    <t>General Session Panel support National Training Seminar</t>
  </si>
  <si>
    <t>Washington DC</t>
  </si>
  <si>
    <t>Military Child Education Coalition</t>
  </si>
  <si>
    <t>LODGING</t>
  </si>
  <si>
    <t>TRANSFORTATION</t>
  </si>
  <si>
    <t>Command Chief, Air Force Global Strike</t>
  </si>
  <si>
    <t>7/23/2018-7/25/2018</t>
  </si>
  <si>
    <t>MEALS</t>
  </si>
  <si>
    <t>Virginia A. Garner</t>
  </si>
  <si>
    <t>Award Recipient for the 2018 Heroes of Military Medicine</t>
  </si>
  <si>
    <t>Commander, 99 MDG</t>
  </si>
  <si>
    <t>2-4 May 2018</t>
  </si>
  <si>
    <t>Mary Lou Y. Robinson</t>
  </si>
  <si>
    <t>Interactive Advertising Bureau Event - Panel Member</t>
  </si>
  <si>
    <t>Meredith Corp, In Style Magaine</t>
  </si>
  <si>
    <t>AFRL/RDH Division Chief</t>
  </si>
  <si>
    <t>Meredith Corp, In Style Magazine</t>
  </si>
  <si>
    <t>2-6 May 2018</t>
  </si>
  <si>
    <t>Brian Rico</t>
  </si>
  <si>
    <t>CFD Yearly Planning Committee Meeting</t>
  </si>
  <si>
    <t>Steamboat Springs, CO</t>
  </si>
  <si>
    <t>Cheyenne Frontier Days</t>
  </si>
  <si>
    <t>90 MXG/CC and DoD Military Liaison</t>
  </si>
  <si>
    <t>Cheyenne Frontier Days, Inc.</t>
  </si>
  <si>
    <t>21-23 Sep 2018</t>
  </si>
  <si>
    <t>Capt Kelly Clinton-Cirocco</t>
  </si>
  <si>
    <t>American College of Obstetricians and Gynecologists (ACOG) Armed Forces District Meeting</t>
  </si>
  <si>
    <t>ACOG</t>
  </si>
  <si>
    <t xml:space="preserve">                             Air Transportation</t>
  </si>
  <si>
    <t>Physician</t>
  </si>
  <si>
    <t xml:space="preserve">ACOG  </t>
  </si>
  <si>
    <t>09/22/2018-09/27/2018</t>
  </si>
  <si>
    <t xml:space="preserve">                           Ground Transportation</t>
  </si>
  <si>
    <t>Maj Andrew Galusha</t>
  </si>
  <si>
    <t>daVinci Robotic Technology and Program Training Course</t>
  </si>
  <si>
    <t>Intuitive Surgical, Inc.</t>
  </si>
  <si>
    <t>4/10/2018 - 4/14/2018</t>
  </si>
  <si>
    <t>Dr. Patrick Golden</t>
  </si>
  <si>
    <t>International Conference on Fatigue Damage of Structural Materials</t>
  </si>
  <si>
    <t>Hyannis, MA</t>
  </si>
  <si>
    <t>Elsevier Ltd</t>
  </si>
  <si>
    <t>Senior Materials Research Engineer</t>
  </si>
  <si>
    <t>09/15/2018-09/22/2018</t>
  </si>
  <si>
    <t>Dr. Stephen Hamilton</t>
  </si>
  <si>
    <t>Havening Techniques Seminar</t>
  </si>
  <si>
    <t>Viva Excellence &amp; Dr. Kate Truitt</t>
  </si>
  <si>
    <t>Psychiatrist</t>
  </si>
  <si>
    <t>Havening</t>
  </si>
  <si>
    <t>09/28/2018-10/01/2018</t>
  </si>
  <si>
    <t>Lt Col Joshua Hamilton</t>
  </si>
  <si>
    <t>American College of Chest Physicians (CHEST) Difficult Airway Management Course</t>
  </si>
  <si>
    <t>Glenville, IL</t>
  </si>
  <si>
    <t>CHEST</t>
  </si>
  <si>
    <t>9/6/2018 - 9/9/2018</t>
  </si>
  <si>
    <t>Lt Col Sarah Huffman</t>
  </si>
  <si>
    <t>Tri-Service Nursing Research Program (TSNRP) Dissemination Course</t>
  </si>
  <si>
    <t>Nurse Scientist</t>
  </si>
  <si>
    <t>TSNRP</t>
  </si>
  <si>
    <t>4/29/2018 - 5/4/2018</t>
  </si>
  <si>
    <t>American Society of Breast Surgeons (ASBS) Annual Meeting</t>
  </si>
  <si>
    <t>ASBS</t>
  </si>
  <si>
    <t>5/2/2018 - 5/7/2018</t>
  </si>
  <si>
    <t>American College of Surgeons (ACOS) Residents as Teachers and Leaders</t>
  </si>
  <si>
    <t xml:space="preserve">                      Air Transportation        </t>
  </si>
  <si>
    <t xml:space="preserve">                             Hotel</t>
  </si>
  <si>
    <t>ACOS</t>
  </si>
  <si>
    <t>04/12/2018-04/16/2018</t>
  </si>
  <si>
    <t xml:space="preserve">                           Registration</t>
  </si>
  <si>
    <t>Maj Jody Huss</t>
  </si>
  <si>
    <t>Asia Pacific Military Health Exchange</t>
  </si>
  <si>
    <t>Xian, China</t>
  </si>
  <si>
    <t>Sarstedt, Inc.</t>
  </si>
  <si>
    <t xml:space="preserve">Nurse </t>
  </si>
  <si>
    <t>9/15/2018 - 9/22/2018</t>
  </si>
  <si>
    <t>Maj Jill Lemieux</t>
  </si>
  <si>
    <t>American Association for Clinical Chemistry (AACC) Annual Scientific Meeting</t>
  </si>
  <si>
    <t>Registered Nurse</t>
  </si>
  <si>
    <t>AACC</t>
  </si>
  <si>
    <t>7/29/2018 - 8/2/2018</t>
  </si>
  <si>
    <t>Research Meetings</t>
  </si>
  <si>
    <t>Uniformed Services University of the Health Sciences (USUHS)</t>
  </si>
  <si>
    <t>4/28/2018 - 5/2/2018</t>
  </si>
  <si>
    <t>Col Bradley Lloyd</t>
  </si>
  <si>
    <t>USUHS Medical Education Director's Meeting</t>
  </si>
  <si>
    <t xml:space="preserve">USUHS  </t>
  </si>
  <si>
    <t>8/11/2018 - 8/15/2018</t>
  </si>
  <si>
    <t>Lt Col Jason Massengill</t>
  </si>
  <si>
    <t>ACOG Armed Forces District Meeting</t>
  </si>
  <si>
    <t>9/22/2018 - 9/26/2018</t>
  </si>
  <si>
    <t>ACOG Annual Meeting</t>
  </si>
  <si>
    <t>American College of Obstetricians and Gynecologists (ACOG)</t>
  </si>
  <si>
    <t>4/26/2018 - 4/30/2018</t>
  </si>
  <si>
    <t>Maj Joel Metze</t>
  </si>
  <si>
    <t>daVinci Technology Multi-Port Training</t>
  </si>
  <si>
    <t>Keesler AFB, MS</t>
  </si>
  <si>
    <t>5/8/2018 - 5/9/2018</t>
  </si>
  <si>
    <t>Mr. Edwin Schwalbach</t>
  </si>
  <si>
    <t>Symposium on metals additive manufacturing and laboratory visit held at the University of Nebraska Lincoln.</t>
  </si>
  <si>
    <t>Lincoln, NE</t>
  </si>
  <si>
    <t>University of Nebraska Lincoln</t>
  </si>
  <si>
    <t xml:space="preserve">                              Air Transportation</t>
  </si>
  <si>
    <t>Engineer</t>
  </si>
  <si>
    <t>University of Nebraska Lincoln, Mechanical &amp; Materials Engineering</t>
  </si>
  <si>
    <t>05/15/2018-05/17/2018</t>
  </si>
  <si>
    <t xml:space="preserve">                           Meals</t>
  </si>
  <si>
    <t>Capt Keren Wagner</t>
  </si>
  <si>
    <t>2018 American Association of Nurse Anesthetists (AANA) Annual Congress</t>
  </si>
  <si>
    <t>AANA</t>
  </si>
  <si>
    <t xml:space="preserve">  Hotel</t>
  </si>
  <si>
    <t>09/22/2018-09/25/2018</t>
  </si>
  <si>
    <t>Brian D. Kocher</t>
  </si>
  <si>
    <t xml:space="preserve">2018 AIAA Aviation Conference
</t>
  </si>
  <si>
    <t>The University of Tennessee Space Institute</t>
  </si>
  <si>
    <t>Mileage</t>
  </si>
  <si>
    <t>Conference Fees</t>
  </si>
  <si>
    <t>Hypersonic Research Engineer</t>
  </si>
  <si>
    <t>06/25/2018 - 06/29/2018</t>
  </si>
  <si>
    <t>Mona Hamilton</t>
  </si>
  <si>
    <t>BGCA HBS Leadership Summit Preliminary Orientation</t>
  </si>
  <si>
    <t>Boys &amp; Girls Clubs of America</t>
  </si>
  <si>
    <t>Hotel - 1 Night</t>
  </si>
  <si>
    <t>Lunch</t>
  </si>
  <si>
    <t>Youth Specialist</t>
  </si>
  <si>
    <t>01-05 May 2018</t>
  </si>
  <si>
    <t xml:space="preserve">BGCA HBS Leadership Summit </t>
  </si>
  <si>
    <t>Cambridge, Mass</t>
  </si>
  <si>
    <t>Lodging - 4 Nights</t>
  </si>
  <si>
    <t>16-21 June 2018</t>
  </si>
  <si>
    <t>Christopher C. Wilcox</t>
  </si>
  <si>
    <t>SPIE Strategic Planning Committee Meeting</t>
  </si>
  <si>
    <t>Bellingham, WA</t>
  </si>
  <si>
    <t>SPIE</t>
  </si>
  <si>
    <t>Electrical Engineer</t>
  </si>
  <si>
    <t>6/27/2018-6/30/2018</t>
  </si>
  <si>
    <t>FOLEY, ERICA L</t>
  </si>
  <si>
    <t>NES WORLD CONGRESS</t>
  </si>
  <si>
    <t>CLEVELAND, OH</t>
  </si>
  <si>
    <t>NCMA</t>
  </si>
  <si>
    <t>CONTRACT SPECIALIST</t>
  </si>
  <si>
    <t>NATIONAL CONTRACT MANAGEMENT ASSOCIATION(NCMA)</t>
  </si>
  <si>
    <t>07/22/2018-07/25/2018</t>
  </si>
  <si>
    <t xml:space="preserve">                           Meals/Misc</t>
  </si>
  <si>
    <t>OMERAGIC, ADELMO</t>
  </si>
  <si>
    <t>PRICE/COST ANALYST</t>
  </si>
  <si>
    <t>PANASCI, TINA</t>
  </si>
  <si>
    <t>Arnold M. Kiefer</t>
  </si>
  <si>
    <t>Physics Colloquium Speaker at New Mexico State University</t>
  </si>
  <si>
    <t>New Mexico State University</t>
  </si>
  <si>
    <t>Senior Research Materials Engineer</t>
  </si>
  <si>
    <t>Physics Dept, New Mexico State University</t>
  </si>
  <si>
    <t>25-27 Apr 2018</t>
  </si>
  <si>
    <t>Dr. Suhithi Peiris</t>
  </si>
  <si>
    <t>"FY 2018 Institutional STE Capability Review at LANL for the Materials for the Future Focus Area"</t>
  </si>
  <si>
    <t>LANL in Santa Fe, NM</t>
  </si>
  <si>
    <t>LANL</t>
  </si>
  <si>
    <t>ST-00, Senior Scientist - Enhanced Energy Effects</t>
  </si>
  <si>
    <t>Los Alamos National Laboratory (LANL)</t>
  </si>
  <si>
    <t>Tris Peraza</t>
  </si>
  <si>
    <t>ASMC National PDI</t>
  </si>
  <si>
    <t>Supervisory Accountant</t>
  </si>
  <si>
    <t xml:space="preserve">ASMC  </t>
  </si>
  <si>
    <t>5/29/2018-6/2/2018</t>
  </si>
  <si>
    <t>Adam Bruya</t>
  </si>
  <si>
    <t>Financial Mgt Specialist</t>
  </si>
  <si>
    <t>ASMC</t>
  </si>
  <si>
    <t>5/28/2018-6/2/2018</t>
  </si>
  <si>
    <t>Ann Nelson</t>
  </si>
  <si>
    <t>Crystal Toupin</t>
  </si>
  <si>
    <t>Mark May</t>
  </si>
  <si>
    <t>Budget Analyst</t>
  </si>
  <si>
    <t>Nerissa Freeman</t>
  </si>
  <si>
    <t>Resource Advisor</t>
  </si>
  <si>
    <t>Justin Hall</t>
  </si>
  <si>
    <t>American Alliance of Museums Annual Meeting</t>
  </si>
  <si>
    <t>Phoeniz AZ</t>
  </si>
  <si>
    <t>Aerospace Heritage Foundation of Utah</t>
  </si>
  <si>
    <t>Museum Curator</t>
  </si>
  <si>
    <t>5/5/2018-05/11/2018</t>
  </si>
  <si>
    <t>M&amp;IE</t>
  </si>
  <si>
    <t>Dan Christenson</t>
  </si>
  <si>
    <t>Conference on Electrical and Electronics Engineers</t>
  </si>
  <si>
    <t>National Harbor, MD</t>
  </si>
  <si>
    <t>Institue of Electrical and Electronics Engineers (IEEE)</t>
  </si>
  <si>
    <t>Program Registration</t>
  </si>
  <si>
    <t xml:space="preserve">      X</t>
  </si>
  <si>
    <t>Tutorial Registration</t>
  </si>
  <si>
    <t xml:space="preserve">     X</t>
  </si>
  <si>
    <t>Director of Engineering</t>
  </si>
  <si>
    <t>Institute of Electrical and Electronics Engineers</t>
  </si>
  <si>
    <t>16-21 Sep 2018</t>
  </si>
  <si>
    <t>Jody Waters</t>
  </si>
  <si>
    <t>Conference: National Professional Development Istitute (PDI)</t>
  </si>
  <si>
    <t>American Society of Military Comprollers-Utah Chapter</t>
  </si>
  <si>
    <t>Financial Specialist</t>
  </si>
  <si>
    <t>American Society of Military Comprollers (ASMC)</t>
  </si>
  <si>
    <t>05/28/2018-06/01/2018</t>
  </si>
  <si>
    <t>Ariel Bambrough</t>
  </si>
  <si>
    <t>Financial Supervisor</t>
  </si>
  <si>
    <t>John  Tranberg</t>
  </si>
  <si>
    <t>05/28/2018-06/02/2018</t>
  </si>
  <si>
    <t>Winnie Ochoa</t>
  </si>
  <si>
    <t>Todd Perry</t>
  </si>
  <si>
    <t>Quinn Cottrell</t>
  </si>
  <si>
    <t>05/28/2018-06/03/2018</t>
  </si>
  <si>
    <t>Tina Merrett</t>
  </si>
  <si>
    <t>Adam Nanney</t>
  </si>
  <si>
    <t>Lisa Ortega</t>
  </si>
  <si>
    <t>Paul Waite</t>
  </si>
  <si>
    <t>Post Leaders Workshop</t>
  </si>
  <si>
    <t>Bonita Springs, Florida</t>
  </si>
  <si>
    <t>President, SAME Great Basin Post</t>
  </si>
  <si>
    <t>Soceity of American Military Engineers</t>
  </si>
  <si>
    <t>8/19/2018-8/21/2018</t>
  </si>
  <si>
    <t>Joint Engineer Training Conference</t>
  </si>
  <si>
    <t>Kansas City, Missouri</t>
  </si>
  <si>
    <t>5/22/2018-5/26/2018</t>
  </si>
  <si>
    <t>Chris Paxman</t>
  </si>
  <si>
    <t>SAME Post Leader Workshop</t>
  </si>
  <si>
    <t>N/A</t>
  </si>
  <si>
    <t>Project Manager</t>
  </si>
  <si>
    <t xml:space="preserve">SAME </t>
  </si>
  <si>
    <t>08/19/2018-08/22/2018</t>
  </si>
  <si>
    <t>SMSgt Kenley Flemming</t>
  </si>
  <si>
    <t>2018 SAME Joint Engineer Training Conference</t>
  </si>
  <si>
    <t>Superintendent, Civil Engineer Mainteance, Inspection and Repair Team</t>
  </si>
  <si>
    <t>05/22/2018 &amp; 05/25/2018</t>
  </si>
  <si>
    <t>Rajesh Naik</t>
  </si>
  <si>
    <t>Gordon Conference on Lasers in Medicine and Biology</t>
  </si>
  <si>
    <t>Bates College, ME</t>
  </si>
  <si>
    <t xml:space="preserve">Gordon Research Conferences </t>
  </si>
  <si>
    <t>conference fee</t>
  </si>
  <si>
    <t>chief scientist</t>
  </si>
  <si>
    <t>7/8/2018-7/13/2018</t>
  </si>
  <si>
    <t xml:space="preserve">Elizabeth Schnaubelt </t>
  </si>
  <si>
    <t xml:space="preserve">Congo Ebola Outbreak Response </t>
  </si>
  <si>
    <t>Uganda</t>
  </si>
  <si>
    <t>UNMC</t>
  </si>
  <si>
    <t>flight</t>
  </si>
  <si>
    <t>medical director</t>
  </si>
  <si>
    <t>University of Nebraska Medical Center</t>
  </si>
  <si>
    <t>9/5/2018-9/30/2018</t>
  </si>
  <si>
    <t>Brian Bracy</t>
  </si>
  <si>
    <t>44th Annual AFA "Salute to SMC" Banquet</t>
  </si>
  <si>
    <t>Air Force Association</t>
  </si>
  <si>
    <t>Meal</t>
  </si>
  <si>
    <t>Colonel</t>
  </si>
  <si>
    <t>Crystal Bracy</t>
  </si>
  <si>
    <t>Spouse of Colonel Bracy</t>
  </si>
  <si>
    <t>Lee Shick</t>
  </si>
  <si>
    <t xml:space="preserve">Chief, Operations Support &amp; Records Mgmt Division </t>
  </si>
  <si>
    <t>04/24/2018-04/28/2018</t>
  </si>
  <si>
    <t>Jeffery Holley</t>
  </si>
  <si>
    <t>Chief, Classification</t>
  </si>
  <si>
    <t>Chad Pryor</t>
  </si>
  <si>
    <t>Chief, Directorate of Personnel Programs</t>
  </si>
  <si>
    <t>Damon Menendez</t>
  </si>
  <si>
    <t>Deputy Director, Airman and Family Care</t>
  </si>
  <si>
    <t>Virginia Banda</t>
  </si>
  <si>
    <t>Logistics &amp; Support</t>
  </si>
  <si>
    <t>Jennifer Holton</t>
  </si>
  <si>
    <t>3SO/3FO CFA</t>
  </si>
  <si>
    <t>06/05/2018-06/09/2018</t>
  </si>
  <si>
    <t>Julie Boit</t>
  </si>
  <si>
    <t>Deputy Director</t>
  </si>
  <si>
    <t>Richard McKee</t>
  </si>
  <si>
    <t>Director, Personnel Programs</t>
  </si>
  <si>
    <t>Norma Inabinet</t>
  </si>
  <si>
    <t>Todd Rose</t>
  </si>
  <si>
    <t>Chief, Casualty Matters Division</t>
  </si>
  <si>
    <t>Julie Mason</t>
  </si>
  <si>
    <t>Chief, Airman and Family Care Division</t>
  </si>
  <si>
    <t>Donna Hoffmeyer</t>
  </si>
  <si>
    <t>Briefing</t>
  </si>
  <si>
    <t>Valdosta, GA/Tampa, FL</t>
  </si>
  <si>
    <t>Acadia Health</t>
  </si>
  <si>
    <t>Chief, Plan, Programs &amp; Policy</t>
  </si>
  <si>
    <t>9/26/2018 - 9/28/2018</t>
  </si>
  <si>
    <t>Kimberly Toney</t>
  </si>
  <si>
    <t>Executive Director</t>
  </si>
  <si>
    <t>07/31/208-08/04/2018</t>
  </si>
  <si>
    <t>Maili Peters</t>
  </si>
  <si>
    <t>Division Chief</t>
  </si>
  <si>
    <t>07/16/208-07/20/2018</t>
  </si>
  <si>
    <t>Martha Franke</t>
  </si>
  <si>
    <t>2018 East Coast Luth Chaplains Prof Dev Seminar</t>
  </si>
  <si>
    <t>NAS Jacksonville, FL</t>
  </si>
  <si>
    <t>Lutheran Church Missouri Synod</t>
  </si>
  <si>
    <t>Taxis</t>
  </si>
  <si>
    <t>Fred Massey</t>
  </si>
  <si>
    <t xml:space="preserve">Hacker Halted Conference </t>
  </si>
  <si>
    <t>Middle Georgia State University</t>
  </si>
  <si>
    <t>Chief, Plans, Programs &amp; Resources Division, AFRC/A6</t>
  </si>
  <si>
    <t>09/13/2018-09/14/2018</t>
  </si>
  <si>
    <t>Mr. Danny W. White</t>
  </si>
  <si>
    <t>Leadership Academy Course</t>
  </si>
  <si>
    <t>Chief, Education Operations Branch, AFSOC/A1KE</t>
  </si>
  <si>
    <t>5 and 9 June 2018</t>
  </si>
  <si>
    <t>Lt Col Kevin Amsden</t>
  </si>
  <si>
    <t>Advanced Maui Optical and Space Surveillance Techologies Conference</t>
  </si>
  <si>
    <t>Maui, HI</t>
  </si>
  <si>
    <t>Maui Economic Development Board (MEDC)</t>
  </si>
  <si>
    <t>3 SES/CC</t>
  </si>
  <si>
    <t>Maui Economic Development Board</t>
  </si>
  <si>
    <t>09/09/2018-09/15/2018</t>
  </si>
  <si>
    <t>Stephen Whiting, Major General</t>
  </si>
  <si>
    <t>Advanced Maui Optical and Space Surveillance Technologies Conference</t>
  </si>
  <si>
    <t>14 AF Commander</t>
  </si>
  <si>
    <t>09/09/2018-09/14/2018</t>
  </si>
  <si>
    <t>American Society of Military Comptrollers Professional Development Institute</t>
  </si>
  <si>
    <t>PDI Registration</t>
  </si>
  <si>
    <t>Meals included in the registration fee: 3 Breakfasts, 3 Lunches, 1 Dinner</t>
  </si>
  <si>
    <t>5/29/18 &amp; 6/2/18</t>
  </si>
  <si>
    <t>American Burn Association Annual Meeting</t>
  </si>
  <si>
    <t>Maj, USAF, MC, FS Dermatology Element Leader</t>
  </si>
  <si>
    <t xml:space="preserve">American Burn Association </t>
  </si>
  <si>
    <t>10 - 11 Apr 18</t>
  </si>
  <si>
    <t>Adam Knox</t>
  </si>
  <si>
    <t>NATO Days Airshow</t>
  </si>
  <si>
    <t>Ostrava, Czech Rep</t>
  </si>
  <si>
    <t>Jagello 2000</t>
  </si>
  <si>
    <t>14 - 17 Sep 18</t>
  </si>
  <si>
    <t>Ashley Deming</t>
  </si>
  <si>
    <t>Captain, USAF</t>
  </si>
  <si>
    <t>Kenneth Kaczmarek</t>
  </si>
  <si>
    <t>Zachary Decker</t>
  </si>
  <si>
    <t>Cameron Morris</t>
  </si>
  <si>
    <t>SSgt, USAF</t>
  </si>
  <si>
    <t>Josh Mitchell</t>
  </si>
  <si>
    <t>William Scott</t>
  </si>
  <si>
    <t>Major, USAF</t>
  </si>
  <si>
    <t>5 - 9 Jun 2018</t>
  </si>
  <si>
    <t>Ryan Nelson</t>
  </si>
  <si>
    <t>A1C, USAF</t>
  </si>
  <si>
    <t>Tryphena Mayhugh</t>
  </si>
  <si>
    <t>SrA, USAF</t>
  </si>
  <si>
    <t>Kirk Halsey</t>
  </si>
  <si>
    <t>TSgt, USAF</t>
  </si>
  <si>
    <t xml:space="preserve">Ethan Best </t>
  </si>
  <si>
    <t>Jeremy Bolin</t>
  </si>
  <si>
    <t>Pacific Nortwwest Endovascular Conference (PNEC) Simulation Summmit for Vascular Trainees</t>
  </si>
  <si>
    <t>PNEC</t>
  </si>
  <si>
    <t>14 -15 Jun 2018</t>
  </si>
  <si>
    <t>Joel Harding</t>
  </si>
  <si>
    <t>14 - 15 Jun 2018</t>
  </si>
  <si>
    <t>Meryl Simon</t>
  </si>
  <si>
    <t>Shaun Gifford</t>
  </si>
  <si>
    <t>Kristen Vitrikas</t>
  </si>
  <si>
    <t>Uniformed Services University of the Health Services (USUHS) Medical Education Directors Meetting</t>
  </si>
  <si>
    <t>Cooperative Agreement No HU0001-15-2-0008 HJF by USUHS</t>
  </si>
  <si>
    <t>Colonel, USAF</t>
  </si>
  <si>
    <t>Henry M. Jackson Foundation (HJF)</t>
  </si>
  <si>
    <t>12 - 14 Aug 18</t>
  </si>
  <si>
    <t>Third Annual UCLA/SVS Symposium</t>
  </si>
  <si>
    <t>Beverly Hils, CA</t>
  </si>
  <si>
    <t>UCLA</t>
  </si>
  <si>
    <t>25 - 27 Aug 18</t>
  </si>
  <si>
    <t>Course Materials</t>
  </si>
  <si>
    <t>Site Based Recruitment Planning for Research Study, Data Collection</t>
  </si>
  <si>
    <t>Ft Bragg, NC</t>
  </si>
  <si>
    <t>Henry M. Jackson Foundation (HJF) - Grant No. HU0001-14-1-0061 HJF by USUHS</t>
  </si>
  <si>
    <t>HJF</t>
  </si>
  <si>
    <t>5 - 11 Sep 18</t>
  </si>
  <si>
    <t>Greyson Leftwich</t>
  </si>
  <si>
    <t>Strasbourg Osteosynthesis Research Group (SORG) Modular Training Series 2018:  Module 4-Trauma, TMJ &amp; Cosmetic Surgery Course</t>
  </si>
  <si>
    <t>SORG</t>
  </si>
  <si>
    <t>6 - 9 Sep 18</t>
  </si>
  <si>
    <t>John Gordy</t>
  </si>
  <si>
    <t>2018 Air, Space &amp; Cyber Conference and Technology Exposition</t>
  </si>
  <si>
    <t>Commander, Maj Gen, USAF</t>
  </si>
  <si>
    <t>16 - 20 Sep 18</t>
  </si>
  <si>
    <t>Lisa DeDecker</t>
  </si>
  <si>
    <t>DoT Air Medical Training Course</t>
  </si>
  <si>
    <t>Fort Lauderdale, FL</t>
  </si>
  <si>
    <t>REVA, INC</t>
  </si>
  <si>
    <t>En Route Critical Care Program Manager</t>
  </si>
  <si>
    <t>REVA</t>
  </si>
  <si>
    <t>9 - 12 Sep 18</t>
  </si>
  <si>
    <t>Matthew Fritz</t>
  </si>
  <si>
    <t>BIF Summit</t>
  </si>
  <si>
    <t>Providence, RI</t>
  </si>
  <si>
    <t>Business Innovation Factory</t>
  </si>
  <si>
    <t>Attendance Fee</t>
  </si>
  <si>
    <t>13 - 15 Sep 18</t>
  </si>
  <si>
    <t>Thomas E. Ayres</t>
  </si>
  <si>
    <t>30th Annual General Counsel Conference</t>
  </si>
  <si>
    <t>ALM Media Properties</t>
  </si>
  <si>
    <t>General Counsel</t>
  </si>
  <si>
    <t>ALM Media Property</t>
  </si>
  <si>
    <t>09/25/2018-09/27/2018</t>
  </si>
  <si>
    <t>Ms. Heidi Grant</t>
  </si>
  <si>
    <t>Royal Int'l Air Tattoo</t>
  </si>
  <si>
    <t>London / Swindon, UK</t>
  </si>
  <si>
    <t xml:space="preserve">Gov of UK w/ Royal Air Force Charitable Trust, Lockheed Martin, Northrop Grumman, L3, Airbus, </t>
  </si>
  <si>
    <t>Air (Helicopter) Transportation</t>
  </si>
  <si>
    <t>DUSAF, Int'l Affairs</t>
  </si>
  <si>
    <t>Royal Air Force</t>
  </si>
  <si>
    <t>7/08 - 7/15 2018</t>
  </si>
  <si>
    <t>Saudi Exec PMR</t>
  </si>
  <si>
    <t>London, UK</t>
  </si>
  <si>
    <t>Kingdom of Saudi Arabia</t>
  </si>
  <si>
    <t>Ground
Transportation</t>
  </si>
  <si>
    <t>Royal Saudi Air Force</t>
  </si>
  <si>
    <t>Taiwan Program Review</t>
  </si>
  <si>
    <t>Republic of Taiwan</t>
  </si>
  <si>
    <t>Air (In-Country)
Transportation</t>
  </si>
  <si>
    <t>Republic of China AF</t>
  </si>
  <si>
    <t>10/8 - 10/13 2018</t>
  </si>
  <si>
    <t>Morocco Int'l Airshow</t>
  </si>
  <si>
    <t>Marrakesh, Morocco</t>
  </si>
  <si>
    <t>Kingdom of Morocco</t>
  </si>
  <si>
    <t>Reception</t>
  </si>
  <si>
    <t>Singapore Defense Tech Summit</t>
  </si>
  <si>
    <t>Singapore, Singapore</t>
  </si>
  <si>
    <t>Government of Singapore</t>
  </si>
  <si>
    <t>DSTA, Gov't of Singapore</t>
  </si>
  <si>
    <t>6/27 &amp; 6/29 2018</t>
  </si>
  <si>
    <t>Israel Air Chiefs Conf</t>
  </si>
  <si>
    <t>Jerusalem / Tel Aviv</t>
  </si>
  <si>
    <t>Government of Israel</t>
  </si>
  <si>
    <t>Israeli Air Force</t>
  </si>
  <si>
    <t>5/21 - 5/24 2018</t>
  </si>
  <si>
    <t>Mongolia Air Force Vst</t>
  </si>
  <si>
    <t>Ulaan Batar</t>
  </si>
  <si>
    <t>Government of Mongolia</t>
  </si>
  <si>
    <t>Monoglia Air Force</t>
  </si>
  <si>
    <t>AANA/SOMOS Advanced Shoulder Arthroscopy course</t>
  </si>
  <si>
    <t>AANA/SOMOS</t>
  </si>
  <si>
    <t>8/17/2018-8/19/2018</t>
  </si>
  <si>
    <t>Joshua E. Dobbs</t>
  </si>
  <si>
    <t>Society of American Military Engineers Post Leaders Workshop</t>
  </si>
  <si>
    <t>Bonita Springs, FL</t>
  </si>
  <si>
    <t>SSgt Dobbs</t>
  </si>
  <si>
    <t xml:space="preserve">Society of American Military Engineers  </t>
  </si>
  <si>
    <t>8/18/2018-8/23/2018</t>
  </si>
  <si>
    <t>Tommy L. Childers</t>
  </si>
  <si>
    <t>SMSgt Childers</t>
  </si>
  <si>
    <t>MSgt Derek Anderson</t>
  </si>
  <si>
    <t>"United as One" - Royal Thai Recognition of Cave Rescue Members</t>
  </si>
  <si>
    <t>Bangkok, Thailand</t>
  </si>
  <si>
    <t>Royal Thailand Government</t>
  </si>
  <si>
    <t>320 STS Airman</t>
  </si>
  <si>
    <t>9/6/2018-9/7/2018</t>
  </si>
  <si>
    <t>Maria Anderson</t>
  </si>
  <si>
    <t>Spouse of MSgt Anderson</t>
  </si>
  <si>
    <t>TSgt Evan Bittck</t>
  </si>
  <si>
    <t>SSgt Steven Coe</t>
  </si>
  <si>
    <t>353 SOMXS Airman</t>
  </si>
  <si>
    <t>SSgt Michael Galindo</t>
  </si>
  <si>
    <t>MSgt Aaron Gazaley</t>
  </si>
  <si>
    <t>17 SOS Airman</t>
  </si>
  <si>
    <t>Maj Nathaniel Harris</t>
  </si>
  <si>
    <t>TSgt Samuel Hernandez</t>
  </si>
  <si>
    <t>Maj Charles Hodges</t>
  </si>
  <si>
    <t>320 STS Commander</t>
  </si>
  <si>
    <t>SSgt Sean Hopper</t>
  </si>
  <si>
    <t>TSgt Jolisa Keju</t>
  </si>
  <si>
    <t>353 SOSS Airman</t>
  </si>
  <si>
    <t>Capt Sheri Lamb</t>
  </si>
  <si>
    <t>SSgt Damian Maya</t>
  </si>
  <si>
    <t>A1C Haley Moulton</t>
  </si>
  <si>
    <t>SrA Brandon Seal</t>
  </si>
  <si>
    <t>Maj Kristen Slappey</t>
  </si>
  <si>
    <t>SrA Chris Smith</t>
  </si>
  <si>
    <t>Capt Mitchell Torrel</t>
  </si>
  <si>
    <t>TSgt Robert Watkins</t>
  </si>
  <si>
    <t>Karl Bradley</t>
  </si>
  <si>
    <t>B-29 "Salvo Sally" Memorial Ceremony  (Miyazaki)</t>
  </si>
  <si>
    <t>Miyazaki, Kyushu, Japan</t>
  </si>
  <si>
    <t>Aomoro City War-Bereaved Association</t>
  </si>
  <si>
    <t>¥18,000</t>
  </si>
  <si>
    <t>¥31,280</t>
  </si>
  <si>
    <t>MSgt, USAF</t>
  </si>
  <si>
    <t>Aormoro City War-Beareave Association</t>
  </si>
  <si>
    <t>4/27/2018-5/1/2018</t>
  </si>
  <si>
    <t>¥5,000</t>
  </si>
  <si>
    <t>Lisa Drefke</t>
  </si>
  <si>
    <t>Scott Wise</t>
  </si>
  <si>
    <t>Dave Wuchter</t>
  </si>
  <si>
    <t>SSgtt, USAF</t>
  </si>
  <si>
    <t>Benjamin Paille</t>
  </si>
  <si>
    <t>Masato Yagi</t>
  </si>
  <si>
    <t>Community Relations Specialist</t>
  </si>
  <si>
    <t>Michael McDonald</t>
  </si>
  <si>
    <t>Endorser Conference</t>
  </si>
  <si>
    <t>Springfield, MO</t>
  </si>
  <si>
    <t>Assemblies of God</t>
  </si>
  <si>
    <t>06/23/2018-07/02/2018</t>
  </si>
  <si>
    <t>Jenny Stevens</t>
  </si>
  <si>
    <t>Guam Dental Association Conference</t>
  </si>
  <si>
    <t>Guam, USA</t>
  </si>
  <si>
    <t>Guam Dental Association</t>
  </si>
  <si>
    <t>Lecturer</t>
  </si>
  <si>
    <t xml:space="preserve">Guam Dental Association </t>
  </si>
  <si>
    <t>9/11/2018-9/14/2018</t>
  </si>
  <si>
    <t>Jason Koesters</t>
  </si>
  <si>
    <t>Stephen Berg</t>
  </si>
  <si>
    <t>American Dental Association Test Construction Committee</t>
  </si>
  <si>
    <t>American Dental Association</t>
  </si>
  <si>
    <t>Examine constructor</t>
  </si>
  <si>
    <t xml:space="preserve">American Dental Association  </t>
  </si>
  <si>
    <t>9/25/2018-9/29/2018</t>
  </si>
  <si>
    <t>Rich Joseph</t>
  </si>
  <si>
    <t>Disruptive Technologies Conference</t>
  </si>
  <si>
    <t>London, United Kingdom</t>
  </si>
  <si>
    <t>Defence IQ</t>
  </si>
  <si>
    <t>AF Chief Scientist</t>
  </si>
  <si>
    <t>9/20/2018-9/28/2018</t>
  </si>
  <si>
    <t>Michael Billeslyper</t>
  </si>
  <si>
    <t>Research Meeting on Roots &amp; Harmonic Polynomials</t>
  </si>
  <si>
    <t>Brigham Young Univ, Provo UT</t>
  </si>
  <si>
    <t>Brigham Young Univ</t>
  </si>
  <si>
    <t>317.13 / $34</t>
  </si>
  <si>
    <t>Brighman Young Univ</t>
  </si>
  <si>
    <t>07/24/2018-07/27/2018</t>
  </si>
  <si>
    <t>Lisbeth Schaubroeck</t>
  </si>
  <si>
    <t>$317.13 / $34</t>
  </si>
  <si>
    <t>James B. Pocock</t>
  </si>
  <si>
    <t>Kansas City Conference Center</t>
  </si>
  <si>
    <t>05/22/2018-05/26/2018</t>
  </si>
  <si>
    <t>Conference Registration &amp; Meals</t>
  </si>
  <si>
    <t>C1C Sean Mishler</t>
  </si>
  <si>
    <t>2018 Free Enterprise Forum, College of the Ozarks</t>
  </si>
  <si>
    <t>College of the Ozarks, Point Lookout, MO</t>
  </si>
  <si>
    <t>College of the Ozarks</t>
  </si>
  <si>
    <t>The Keeter Center fo Character Education, College of the Ozarks</t>
  </si>
  <si>
    <t>04/08/2018-04/11/2018</t>
  </si>
  <si>
    <t>Meals / Refreshments</t>
  </si>
  <si>
    <t>C1C Ethan Young</t>
  </si>
  <si>
    <t>C2C Thomes Bruns</t>
  </si>
  <si>
    <t>C2C Matthew Stanley</t>
  </si>
  <si>
    <t>David Boyd</t>
  </si>
  <si>
    <t xml:space="preserve">Inaugural Annual Meeting and Colloquium of the World Daoist Medical Society </t>
  </si>
  <si>
    <t>United Nations HHQ, New York City, NY</t>
  </si>
  <si>
    <t>United Nations Master's Colloquium</t>
  </si>
  <si>
    <t>AD-22-19</t>
  </si>
  <si>
    <t>World Daoist Medical Society, World Macrobiotic Health Alliance for Cultural Travel, Intl Institute for the Research of Traditional Science &amp; Culture, Inc., United Nations Masters Colloquium, The Univ at Buffalo - State Univ of New York, Chengdu Univ of TCM, &amp; the World Cultural Relic Alliance</t>
  </si>
  <si>
    <t>04/26/2018-04/30/2018</t>
  </si>
  <si>
    <t>2nd Annual NCAA-DoD Grand Alliance Concussion Conference</t>
  </si>
  <si>
    <t>DoD/NCAA research study grant, as managed by the Geneva Foundation</t>
  </si>
  <si>
    <t>US Military Academy Sports Medicine</t>
  </si>
  <si>
    <t>04/19/2018-04/21/2018</t>
  </si>
  <si>
    <t>Adam Greer</t>
  </si>
  <si>
    <t>US-China Strategic Dialogue</t>
  </si>
  <si>
    <t xml:space="preserve">USAFA's Institute for National Security Studies &amp; The Pacific Forum, Center for Strategic Intl Studies </t>
  </si>
  <si>
    <t>Meals &amp; Incidental Expenses</t>
  </si>
  <si>
    <t>The Pacific Forum, Center for Strategic Intl Studies</t>
  </si>
  <si>
    <t>04/10/2018-04/15/2018</t>
  </si>
  <si>
    <t>Dr. Ryan Kelty</t>
  </si>
  <si>
    <t>External review for accereditation, Dept of Sociology, St Mary's Collge of Maryland</t>
  </si>
  <si>
    <t>St Mary's College of Maryland, St Mary's City, MD</t>
  </si>
  <si>
    <t>St Mary's College of Maryland</t>
  </si>
  <si>
    <t>$400 / $200</t>
  </si>
  <si>
    <t>AD</t>
  </si>
  <si>
    <t>None</t>
  </si>
  <si>
    <t>04/18/2018-04/21/2018</t>
  </si>
  <si>
    <t>Miriam A. Krieger</t>
  </si>
  <si>
    <t>National Security Scholars &amp; Practioners Program</t>
  </si>
  <si>
    <t>Vergennes, VT</t>
  </si>
  <si>
    <t>Philip Merrill Center for Strategic Studies, Johns Hopkins Univ</t>
  </si>
  <si>
    <t>$600 / $50</t>
  </si>
  <si>
    <t>06/04/2018-06/08/2018</t>
  </si>
  <si>
    <t>Brianna Simpson</t>
  </si>
  <si>
    <t>Naval Academy Foreign Affairs Conference: Guarding Liberty in a World of Democratic Undoing</t>
  </si>
  <si>
    <t>Annapolis, MD</t>
  </si>
  <si>
    <t>04/09/2018-04/13/2018</t>
  </si>
  <si>
    <t>Lucas Beissner</t>
  </si>
  <si>
    <t>4/9/2018-04/13/2018</t>
  </si>
  <si>
    <t>Nathan Wozny</t>
  </si>
  <si>
    <t>2nd IZA workshop on Gender &amp; Family Economics</t>
  </si>
  <si>
    <t>Barnard College, New York, NY</t>
  </si>
  <si>
    <t>Institute of Labor Economics</t>
  </si>
  <si>
    <t>Institute of Labor Economics &amp; Barnard College</t>
  </si>
  <si>
    <t>04/19/2018-04/22/2018</t>
  </si>
  <si>
    <t>Dr. Thomas J. Phelan</t>
  </si>
  <si>
    <t>National Council of Examiners for Engineering &amp; Surveying (NCEES) Proefessional Licensure exam writing workshop</t>
  </si>
  <si>
    <t>Transportation / Ground Transportation / Rental</t>
  </si>
  <si>
    <t>$400 / $62.5 / $230</t>
  </si>
  <si>
    <t>Prof David H. Sacko</t>
  </si>
  <si>
    <t>Virginia Military Institute (VMI) Curriculum Review</t>
  </si>
  <si>
    <t>VMI</t>
  </si>
  <si>
    <t>$455 / $100</t>
  </si>
  <si>
    <t>04/14/2018-04/16/2018</t>
  </si>
  <si>
    <t>Dr. Paul Bolt</t>
  </si>
  <si>
    <t>"Challenges to the Western Liberal Order"</t>
  </si>
  <si>
    <t>Kozmetsky Center of Excellence at St Edward's Univ in cooperation w/ the Center for Europe and Center for Russian, East European and Eurasian Studies at UT at Austin, and the World Affairs Council of Austin</t>
  </si>
  <si>
    <t>$573 / $40</t>
  </si>
  <si>
    <t>Kozmetsky Center, St Edwards Univ</t>
  </si>
  <si>
    <t xml:space="preserve">Mountain West Conference </t>
  </si>
  <si>
    <t>Fairmont Sonoma Mission Inn &amp; Spa</t>
  </si>
  <si>
    <t>06/03/2018-06/06/2018</t>
  </si>
  <si>
    <t>Ryan P. Burke</t>
  </si>
  <si>
    <t>Summer Workshop on  Analysis Military Operations Strategy</t>
  </si>
  <si>
    <t>Cornell University, Ithaca, NY</t>
  </si>
  <si>
    <t>Colombia University Saltzman Institute of War and Peace Studies</t>
  </si>
  <si>
    <t>07/08/2018-07/22/2018</t>
  </si>
  <si>
    <t>Marshall Foster</t>
  </si>
  <si>
    <t>Aspen Security Forum</t>
  </si>
  <si>
    <t>Aspen Institute, Aspen CO</t>
  </si>
  <si>
    <t>Aspen Institute</t>
  </si>
  <si>
    <t>Registration Fees</t>
  </si>
  <si>
    <t>07/18/2018-07/21/2018</t>
  </si>
  <si>
    <t>Turner Holcombe</t>
  </si>
  <si>
    <t>Katie Scheibner</t>
  </si>
  <si>
    <t>Coen Williams</t>
  </si>
  <si>
    <t>07/18/2018-07/22/2018</t>
  </si>
  <si>
    <t>Mark Slabaugh</t>
  </si>
  <si>
    <t>Arthroscopy Association of North America (AANA)/Society of Military Orthopaedic Surgeons (SOMOS) Advanced Arthroscopy Course</t>
  </si>
  <si>
    <t>08/17/2018-08/19/2018</t>
  </si>
  <si>
    <t>Joseph R. Foster</t>
  </si>
  <si>
    <t>American Council on Education (ACE) Fellowship opening retreat</t>
  </si>
  <si>
    <t>Richmond, VA</t>
  </si>
  <si>
    <t>Metropolitan State University of Denver</t>
  </si>
  <si>
    <t>$506.4 / $50</t>
  </si>
  <si>
    <t>ACE</t>
  </si>
  <si>
    <t>08/06/2018-08/13/2018</t>
  </si>
  <si>
    <t>Andrea Hilario</t>
  </si>
  <si>
    <t>Department of Homeland Security Summer Research</t>
  </si>
  <si>
    <t>BurstIQ Analytics Corparation</t>
  </si>
  <si>
    <t xml:space="preserve">BurstIQ Analytics Corporation </t>
  </si>
  <si>
    <t>06/20/2018-06/22/2018</t>
  </si>
  <si>
    <t>Steve Savage</t>
  </si>
  <si>
    <t>Forum for the Future of Higher Education</t>
  </si>
  <si>
    <t>Aspen Meadows, CO</t>
  </si>
  <si>
    <t>06/10/2018-06/13/2018</t>
  </si>
  <si>
    <t>Lauren Hale</t>
  </si>
  <si>
    <t>Mirela Alina Gearba-Sell</t>
  </si>
  <si>
    <t>Society of Physics Students National Council Meeting</t>
  </si>
  <si>
    <t>American Institute of Physics</t>
  </si>
  <si>
    <t>$350 / $20</t>
  </si>
  <si>
    <t>09/13/2018-09/16/2018</t>
  </si>
  <si>
    <t>Society of Physics Students Executive Committee Meeting</t>
  </si>
  <si>
    <t>06/21/2018-06/22/2018</t>
  </si>
  <si>
    <t>$500 / $400</t>
  </si>
  <si>
    <t>Tobin K. McKearin</t>
  </si>
  <si>
    <t>Summer Long-term Job Data Analysis Position</t>
  </si>
  <si>
    <t>Madison, WI</t>
  </si>
  <si>
    <t>POLCO/Nick Mastronardi</t>
  </si>
  <si>
    <t>POLCO</t>
  </si>
  <si>
    <t>06/16/2018-06/17/2018; 07/21/2018-07/22/2018</t>
  </si>
  <si>
    <t>Airshow</t>
  </si>
  <si>
    <t>Columbia, MO</t>
  </si>
  <si>
    <t>Salute Airshow</t>
  </si>
  <si>
    <t>Columbia Airshow</t>
  </si>
  <si>
    <t>05/24/2018-05/28/2018</t>
  </si>
  <si>
    <t>Randy Jacobs</t>
  </si>
  <si>
    <t>Sarah Hill</t>
  </si>
  <si>
    <t>Lucas VanEpps</t>
  </si>
  <si>
    <t>05/24/2018-25/28/2018</t>
  </si>
  <si>
    <t>Jared Flowers</t>
  </si>
  <si>
    <t>Alexander Lesar</t>
  </si>
  <si>
    <t>Curtis Smith</t>
  </si>
  <si>
    <t>Davis Ciarmella</t>
  </si>
  <si>
    <t>Sean P. Baerman</t>
  </si>
  <si>
    <t>China, Russia and Twenty-First Century Global Geopolitics</t>
  </si>
  <si>
    <t>Wilson Center, Washington, DC</t>
  </si>
  <si>
    <t>Wilson Center</t>
  </si>
  <si>
    <t>$500 / $30</t>
  </si>
  <si>
    <t>Wilson Center/Kennan Institute and the Kissinger Instittute on China and the US</t>
  </si>
  <si>
    <t>06/05/2018-06/07/2018</t>
  </si>
  <si>
    <t>Dr. Thomas Phelan</t>
  </si>
  <si>
    <t>National Council of Examiners for Engineering &amp; Surveying (NCEES) Civil Engineering Principles and Practice of Engineering Examination Development Meeting</t>
  </si>
  <si>
    <t>07/12/2018-07/14/2018</t>
  </si>
  <si>
    <t>$46 / $81.5</t>
  </si>
  <si>
    <t>Ian Pierce</t>
  </si>
  <si>
    <t>Transforming Instruction in Undergraduate Mathematics via Primary Historical Sources (TRIUMPHS) Site Tester Training Workshop</t>
  </si>
  <si>
    <t>Colorado State University, Denver, CO</t>
  </si>
  <si>
    <t>TRIUMPHS Project</t>
  </si>
  <si>
    <t>09/13/2018-09/15/2018</t>
  </si>
  <si>
    <t>Meals / Selected meals/snacks</t>
  </si>
  <si>
    <t>$80. / $20.</t>
  </si>
  <si>
    <t>Chippewa Valley Air Show</t>
  </si>
  <si>
    <t>Eau Claire, WI</t>
  </si>
  <si>
    <t>Chippewa Valley Council Boy Scouts</t>
  </si>
  <si>
    <t>6/14/18-6/17/18</t>
  </si>
  <si>
    <t>Kirk Palan</t>
  </si>
  <si>
    <t>Dan Stein</t>
  </si>
  <si>
    <t>Tyler Cibotti</t>
  </si>
  <si>
    <t>Yuri Borodenko</t>
  </si>
  <si>
    <t>Dave Culver</t>
  </si>
  <si>
    <t>Sarina Wyrick</t>
  </si>
  <si>
    <t>Julie Culberston</t>
  </si>
  <si>
    <t>Steve Rumsey</t>
  </si>
  <si>
    <t>Christopher R. Amrhein</t>
  </si>
  <si>
    <t>Air, Space and Cyber Conference</t>
  </si>
  <si>
    <t>Maryland, USA</t>
  </si>
  <si>
    <t>100 ARW/CC</t>
  </si>
  <si>
    <t>09/16/2018-09/20/2018</t>
  </si>
  <si>
    <t>Patrick Teal</t>
  </si>
  <si>
    <t>Finland Business Effort</t>
  </si>
  <si>
    <t>Kuopio, Finland</t>
  </si>
  <si>
    <t>Finnish Air Force</t>
  </si>
  <si>
    <t>Capt/Flight Wing Executive Officer</t>
  </si>
  <si>
    <t>9/11/2018-09/13/2018</t>
  </si>
  <si>
    <t>Shaun Morrison</t>
  </si>
  <si>
    <t>Co-pilot</t>
  </si>
  <si>
    <t>Kaleb Bourque</t>
  </si>
  <si>
    <t>SrAIn-Flight System Apprentice</t>
  </si>
  <si>
    <t>Matthew Gras</t>
  </si>
  <si>
    <t>Capt/Pilot</t>
  </si>
  <si>
    <t>Grant Rigenberg</t>
  </si>
  <si>
    <t>TSgt/Flight NCO</t>
  </si>
  <si>
    <t>Zimbalist Favors</t>
  </si>
  <si>
    <t>Dealer Show</t>
  </si>
  <si>
    <t>Val D'Isere, France</t>
  </si>
  <si>
    <t>Kona Bicycle</t>
  </si>
  <si>
    <t>Asst Director, Outdoor Recreation</t>
  </si>
  <si>
    <t>08/25/2018-08/29/2018</t>
  </si>
  <si>
    <t>Shawn Petri</t>
  </si>
  <si>
    <t>Invenotry Specialist</t>
  </si>
  <si>
    <t>Devon Scarola</t>
  </si>
  <si>
    <t>Equipment Repairer</t>
  </si>
  <si>
    <t>Daniel Hatz</t>
  </si>
  <si>
    <t>Shoulder Arthroscopy Course</t>
  </si>
  <si>
    <t>Society of Military Orthopedic Surgeons/Arthroscopy Association of North America</t>
  </si>
  <si>
    <t>Orthopaedic Surgeon</t>
  </si>
  <si>
    <t>SOMOS/AANA</t>
  </si>
  <si>
    <t>08/17/2018-08/19-2018</t>
  </si>
  <si>
    <t>Course Book</t>
  </si>
  <si>
    <t>Charla C. Geist</t>
  </si>
  <si>
    <t>Infectious Disease Clinical Research Program Site Visit</t>
  </si>
  <si>
    <t>Lt Col, USAF, MC</t>
  </si>
  <si>
    <t>09/10/2018-09/14/2018</t>
  </si>
  <si>
    <t>Christopher Damico</t>
  </si>
  <si>
    <t>Lt Col, 603 AOC</t>
  </si>
  <si>
    <t>Michael Jordan</t>
  </si>
  <si>
    <t>SMSgt, 603 AOC</t>
  </si>
  <si>
    <t>SAME Joint Engineer Training Conference Board of Direction Meeting</t>
  </si>
  <si>
    <t>Society of Military Engineers (SAME)</t>
  </si>
  <si>
    <t xml:space="preserve">SAME  </t>
  </si>
  <si>
    <t>05/21/2018-05/25/2018</t>
  </si>
  <si>
    <t>1353 Travel Report for DEPARTMENT OF THE AIR FORCE for the reporting period April 1, 2018 - September 30, 2018</t>
  </si>
  <si>
    <t>Internal OGE Use Only</t>
  </si>
  <si>
    <t>OCTOBER 1, 2017 -MARCH 31, 2018</t>
  </si>
  <si>
    <t>APRIL 1 - SEPTEMBER 30, 2018</t>
  </si>
  <si>
    <t>MG John Nichols</t>
  </si>
  <si>
    <t>FIDAE 2018 International Air Show</t>
  </si>
  <si>
    <t>Santiago,Chile</t>
  </si>
  <si>
    <t>Chilean Air Force State Partnership Program</t>
  </si>
  <si>
    <t>Texas Adjutant General (TAG)</t>
  </si>
  <si>
    <t xml:space="preserve">Chilean Air Force  </t>
  </si>
  <si>
    <t>1 - 7 April 2018</t>
  </si>
  <si>
    <t>CPT Jose Rodriguez</t>
  </si>
  <si>
    <t>TAG Aide-de-Campe</t>
  </si>
  <si>
    <t>06/07/2018-6/23/2018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</si>
</sst>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s>
  <fonts count="35">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b/>
      <sz val="7"/>
      <name val="Arial"/>
      <family val="2"/>
    </font>
    <font>
      <sz val="8"/>
      <color theme="1"/>
      <name val="Arial"/>
      <family val="2"/>
    </font>
    <font>
      <sz val="11"/>
      <color theme="1"/>
      <name val="Calibri"/>
      <family val="2"/>
      <scheme val="minor"/>
    </font>
    <font>
      <sz val="9.5"/>
      <color theme="1"/>
      <name val="Calibri"/>
      <family val="2"/>
      <scheme val="minor"/>
    </font>
    <font>
      <sz val="8"/>
      <name val="Calibri"/>
      <family val="2"/>
      <scheme val="minor"/>
    </font>
    <font>
      <i/>
      <sz val="8"/>
      <color theme="1"/>
      <name val="Calibri"/>
      <family val="2"/>
      <scheme val="minor"/>
    </font>
    <font>
      <sz val="8"/>
      <color theme="1"/>
      <name val="Calibri"/>
      <family val="2"/>
      <scheme val="minor"/>
    </font>
    <font>
      <b/>
      <sz val="8"/>
      <name val="Calibri"/>
      <family val="2"/>
      <scheme val="minor"/>
    </font>
    <font>
      <sz val="6"/>
      <name val="Arial"/>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6795556505021"/>
        <bgColor theme="0"/>
      </patternFill>
    </fill>
    <fill>
      <patternFill patternType="solid">
        <fgColor theme="6" tint="0.59999389629810485"/>
        <bgColor indexed="64"/>
      </patternFill>
    </fill>
    <fill>
      <patternFill patternType="solid">
        <fgColor rgb="FFFFFFFF"/>
        <bgColor rgb="FF000000"/>
      </patternFill>
    </fill>
    <fill>
      <patternFill patternType="solid">
        <fgColor rgb="FFD9D9D9"/>
        <bgColor rgb="FF000000"/>
      </patternFill>
    </fill>
  </fills>
  <borders count="99">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ck">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ck">
        <color indexed="64"/>
      </right>
      <top style="thin">
        <color indexed="64"/>
      </top>
      <bottom/>
      <diagonal/>
    </border>
    <border>
      <left style="thick">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top style="thick">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style="thin">
        <color indexed="64"/>
      </top>
      <bottom style="thick">
        <color indexed="64"/>
      </bottom>
      <diagonal/>
    </border>
  </borders>
  <cellStyleXfs count="11">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0" fontId="24" fillId="10" borderId="36" applyBorder="0">
      <alignment horizontal="center" vertical="center" wrapText="1"/>
    </xf>
    <xf numFmtId="44" fontId="26" fillId="0" borderId="0" applyFont="0" applyFill="0" applyBorder="0" applyAlignment="0" applyProtection="0"/>
  </cellStyleXfs>
  <cellXfs count="832">
    <xf numFmtId="0" fontId="0" fillId="0" borderId="0" xfId="0"/>
    <xf numFmtId="0" fontId="0" fillId="0" borderId="0" xfId="0" applyBorder="1"/>
    <xf numFmtId="0" fontId="5" fillId="2" borderId="9" xfId="1" applyBorder="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6" fillId="4" borderId="14" xfId="2" applyFill="1" applyBorder="1" applyAlignment="1">
      <alignment horizontal="center"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6" fillId="3" borderId="40" xfId="0" applyFont="1" applyFill="1" applyBorder="1" applyAlignment="1" applyProtection="1">
      <alignment horizontal="left" vertical="center" wrapText="1"/>
    </xf>
    <xf numFmtId="0" fontId="1" fillId="3" borderId="24" xfId="0" applyFont="1" applyFill="1" applyBorder="1" applyAlignment="1" applyProtection="1">
      <alignment vertical="center" wrapText="1"/>
    </xf>
    <xf numFmtId="0" fontId="6" fillId="3" borderId="41" xfId="0" applyFont="1" applyFill="1" applyBorder="1" applyAlignment="1" applyProtection="1">
      <alignment horizontal="left" vertical="center" wrapText="1"/>
    </xf>
    <xf numFmtId="0" fontId="6" fillId="3" borderId="41" xfId="0" applyFont="1" applyFill="1" applyBorder="1" applyAlignment="1" applyProtection="1">
      <alignment horizontal="center" vertical="center"/>
    </xf>
    <xf numFmtId="0" fontId="6" fillId="6" borderId="42" xfId="2" applyFill="1" applyBorder="1" applyProtection="1">
      <alignment horizontal="left" vertical="center" wrapText="1"/>
    </xf>
    <xf numFmtId="0" fontId="6" fillId="3" borderId="44"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47" xfId="2" applyFill="1" applyBorder="1">
      <alignment horizontal="left" vertical="center" wrapText="1"/>
      <protection locked="0"/>
    </xf>
    <xf numFmtId="0" fontId="5" fillId="2" borderId="50" xfId="1" applyBorder="1">
      <alignment horizontal="center" vertical="center"/>
    </xf>
    <xf numFmtId="6" fontId="6" fillId="3" borderId="52" xfId="0" applyNumberFormat="1" applyFont="1" applyFill="1" applyBorder="1" applyAlignment="1" applyProtection="1">
      <alignment horizontal="right" vertical="center"/>
    </xf>
    <xf numFmtId="0" fontId="0" fillId="6" borderId="16" xfId="0" applyFill="1" applyBorder="1" applyProtection="1"/>
    <xf numFmtId="0" fontId="0" fillId="6" borderId="0" xfId="0" applyFill="1" applyBorder="1" applyProtection="1"/>
    <xf numFmtId="0" fontId="6" fillId="3" borderId="57" xfId="2" applyFill="1" applyBorder="1">
      <alignment horizontal="left" vertical="center" wrapText="1"/>
      <protection locked="0"/>
    </xf>
    <xf numFmtId="6" fontId="6" fillId="3" borderId="60" xfId="0" applyNumberFormat="1" applyFont="1" applyFill="1" applyBorder="1" applyAlignment="1" applyProtection="1">
      <alignment vertical="center"/>
    </xf>
    <xf numFmtId="6" fontId="6" fillId="3" borderId="61" xfId="0" applyNumberFormat="1" applyFont="1" applyFill="1" applyBorder="1" applyAlignment="1" applyProtection="1">
      <alignment horizontal="right" vertical="center"/>
    </xf>
    <xf numFmtId="0" fontId="5" fillId="6" borderId="12" xfId="7" applyBorder="1" applyProtection="1">
      <alignment vertical="center" wrapText="1"/>
    </xf>
    <xf numFmtId="0" fontId="5" fillId="6" borderId="36" xfId="8" applyBorder="1" applyProtection="1">
      <alignment vertical="center" wrapText="1"/>
    </xf>
    <xf numFmtId="0" fontId="0" fillId="0" borderId="0" xfId="0" applyBorder="1"/>
    <xf numFmtId="0" fontId="6" fillId="3" borderId="67" xfId="2" applyFill="1" applyBorder="1">
      <alignment horizontal="left" vertical="center" wrapText="1"/>
      <protection locked="0"/>
    </xf>
    <xf numFmtId="0" fontId="0" fillId="0" borderId="68" xfId="0" applyBorder="1"/>
    <xf numFmtId="0" fontId="7" fillId="0" borderId="0" xfId="0" applyFont="1" applyFill="1" applyBorder="1" applyAlignment="1" applyProtection="1">
      <alignment horizontal="left" vertical="center" wrapText="1"/>
    </xf>
    <xf numFmtId="0" fontId="0" fillId="0" borderId="0" xfId="0"/>
    <xf numFmtId="0" fontId="5" fillId="6" borderId="12" xfId="7" applyBorder="1" applyProtection="1">
      <alignment vertical="center" wrapText="1"/>
    </xf>
    <xf numFmtId="0" fontId="5" fillId="6" borderId="36" xfId="8" applyBorder="1" applyProtection="1">
      <alignment vertical="center" wrapText="1"/>
    </xf>
    <xf numFmtId="0" fontId="0" fillId="0" borderId="0" xfId="0" applyBorder="1"/>
    <xf numFmtId="0" fontId="5" fillId="6" borderId="33" xfId="7" applyBorder="1" applyProtection="1">
      <alignment vertical="center" wrapText="1"/>
    </xf>
    <xf numFmtId="0" fontId="11" fillId="9" borderId="0" xfId="0" applyFont="1" applyFill="1"/>
    <xf numFmtId="0" fontId="0" fillId="9" borderId="0" xfId="0" applyFill="1"/>
    <xf numFmtId="0" fontId="12"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3"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0" fillId="9" borderId="0" xfId="0" applyFont="1" applyFill="1"/>
    <xf numFmtId="0" fontId="2" fillId="9" borderId="0" xfId="0" applyFont="1" applyFill="1"/>
    <xf numFmtId="0" fontId="21" fillId="9" borderId="0" xfId="0" applyFont="1" applyFill="1"/>
    <xf numFmtId="0" fontId="23" fillId="9" borderId="0" xfId="0" applyFont="1" applyFill="1" applyAlignment="1">
      <alignment horizontal="left" vertical="top"/>
    </xf>
    <xf numFmtId="0" fontId="1" fillId="9" borderId="0" xfId="0" applyFont="1" applyFill="1" applyAlignment="1">
      <alignment horizontal="right" vertical="top" wrapText="1"/>
    </xf>
    <xf numFmtId="0" fontId="23" fillId="9" borderId="0" xfId="0" applyFont="1" applyFill="1"/>
    <xf numFmtId="0" fontId="0" fillId="9" borderId="0" xfId="0" applyFill="1" applyAlignment="1">
      <alignment vertical="top" wrapText="1"/>
    </xf>
    <xf numFmtId="0" fontId="0" fillId="0" borderId="0" xfId="0"/>
    <xf numFmtId="0" fontId="0" fillId="0" borderId="0" xfId="0" applyBorder="1"/>
    <xf numFmtId="0" fontId="5" fillId="6" borderId="12" xfId="7" applyBorder="1" applyProtection="1">
      <alignment vertical="center" wrapText="1"/>
    </xf>
    <xf numFmtId="0" fontId="5" fillId="6" borderId="36" xfId="8" applyBorder="1" applyProtection="1">
      <alignment vertical="center" wrapText="1"/>
    </xf>
    <xf numFmtId="0" fontId="5" fillId="6" borderId="33" xfId="7" applyBorder="1" applyProtection="1">
      <alignment vertical="center" wrapText="1"/>
    </xf>
    <xf numFmtId="6" fontId="6" fillId="3" borderId="44" xfId="2" applyNumberFormat="1" applyFill="1" applyBorder="1">
      <alignment horizontal="left" vertical="center" wrapText="1"/>
      <protection locked="0"/>
    </xf>
    <xf numFmtId="6" fontId="6" fillId="3" borderId="38" xfId="2" applyNumberFormat="1" applyFill="1" applyBorder="1">
      <alignment horizontal="left" vertical="center" wrapText="1"/>
      <protection locked="0"/>
    </xf>
    <xf numFmtId="15" fontId="6" fillId="3" borderId="40" xfId="2" applyNumberFormat="1" applyFill="1" applyBorder="1">
      <alignment horizontal="left" vertical="center" wrapText="1"/>
      <protection locked="0"/>
    </xf>
    <xf numFmtId="8" fontId="6" fillId="3" borderId="38" xfId="2" applyNumberFormat="1" applyFill="1" applyBorder="1">
      <alignment horizontal="left" vertical="center" wrapText="1"/>
      <protection locked="0"/>
    </xf>
    <xf numFmtId="0" fontId="6" fillId="3" borderId="12" xfId="2" applyProtection="1">
      <alignment horizontal="left" vertical="center" wrapText="1"/>
      <protection locked="0"/>
    </xf>
    <xf numFmtId="0" fontId="6" fillId="3" borderId="35" xfId="2" applyFill="1" applyBorder="1" applyProtection="1">
      <alignment horizontal="left" vertical="center" wrapText="1"/>
      <protection locked="0"/>
    </xf>
    <xf numFmtId="6" fontId="6" fillId="3" borderId="44" xfId="2" applyNumberFormat="1" applyFill="1" applyBorder="1" applyProtection="1">
      <alignment horizontal="left" vertical="center" wrapText="1"/>
      <protection locked="0"/>
    </xf>
    <xf numFmtId="0" fontId="6" fillId="3" borderId="37" xfId="2" applyFill="1" applyBorder="1" applyProtection="1">
      <alignment horizontal="left" vertical="center" wrapText="1"/>
      <protection locked="0"/>
    </xf>
    <xf numFmtId="0" fontId="6" fillId="3" borderId="36" xfId="2" applyFill="1" applyBorder="1" applyProtection="1">
      <alignment horizontal="left" vertical="center" wrapText="1"/>
      <protection locked="0"/>
    </xf>
    <xf numFmtId="8" fontId="6" fillId="3" borderId="38" xfId="2" applyNumberFormat="1" applyFill="1" applyBorder="1" applyProtection="1">
      <alignment horizontal="left" vertical="center" wrapText="1"/>
      <protection locked="0"/>
    </xf>
    <xf numFmtId="0" fontId="6" fillId="3" borderId="12" xfId="2" applyFill="1" applyBorder="1" applyProtection="1">
      <alignment horizontal="left" vertical="center" wrapText="1"/>
      <protection locked="0"/>
    </xf>
    <xf numFmtId="14" fontId="6" fillId="3" borderId="40" xfId="2" applyNumberFormat="1" applyFill="1" applyBorder="1" applyProtection="1">
      <alignment horizontal="left" vertical="center" wrapText="1"/>
      <protection locked="0"/>
    </xf>
    <xf numFmtId="0" fontId="6" fillId="3" borderId="47" xfId="2" applyFill="1" applyBorder="1" applyProtection="1">
      <alignment horizontal="left" vertical="center" wrapText="1"/>
      <protection locked="0"/>
    </xf>
    <xf numFmtId="6" fontId="6" fillId="3" borderId="38" xfId="2" applyNumberFormat="1" applyFill="1" applyBorder="1" applyProtection="1">
      <alignment horizontal="left" vertical="center" wrapText="1"/>
      <protection locked="0"/>
    </xf>
    <xf numFmtId="0" fontId="6" fillId="3" borderId="38" xfId="2" applyFill="1" applyBorder="1" applyProtection="1">
      <alignment horizontal="left" vertical="center" wrapText="1"/>
      <protection locked="0"/>
    </xf>
    <xf numFmtId="6" fontId="6" fillId="3" borderId="58" xfId="2" applyNumberFormat="1" applyFill="1" applyBorder="1">
      <alignment horizontal="left" vertical="center" wrapText="1"/>
      <protection locked="0"/>
    </xf>
    <xf numFmtId="6" fontId="6" fillId="3" borderId="57" xfId="2" applyNumberFormat="1" applyFill="1" applyBorder="1">
      <alignment horizontal="left" vertical="center" wrapText="1"/>
      <protection locked="0"/>
    </xf>
    <xf numFmtId="8" fontId="6" fillId="3" borderId="67" xfId="2" applyNumberFormat="1" applyFill="1" applyBorder="1">
      <alignment horizontal="left" vertical="center" wrapText="1"/>
      <protection locked="0"/>
    </xf>
    <xf numFmtId="14" fontId="6" fillId="3" borderId="12" xfId="2" applyNumberFormat="1" applyFill="1" applyBorder="1">
      <alignment horizontal="left" vertical="center" wrapText="1"/>
      <protection locked="0"/>
    </xf>
    <xf numFmtId="0" fontId="6" fillId="3" borderId="24" xfId="2" applyFill="1" applyBorder="1">
      <alignment horizontal="left" vertical="center" wrapText="1"/>
      <protection locked="0"/>
    </xf>
    <xf numFmtId="0" fontId="6" fillId="3" borderId="25" xfId="2" applyFill="1" applyBorder="1">
      <alignment horizontal="left" vertical="center" wrapText="1"/>
      <protection locked="0"/>
    </xf>
    <xf numFmtId="0" fontId="6" fillId="3" borderId="41" xfId="2" applyFill="1" applyBorder="1">
      <alignment horizontal="left" vertical="center" wrapText="1"/>
      <protection locked="0"/>
    </xf>
    <xf numFmtId="0" fontId="6" fillId="3" borderId="35" xfId="2" applyFill="1" applyBorder="1" applyAlignment="1">
      <alignment horizontal="center" vertical="center" wrapText="1"/>
      <protection locked="0"/>
    </xf>
    <xf numFmtId="6" fontId="6" fillId="3" borderId="44" xfId="2" applyNumberFormat="1" applyFill="1" applyBorder="1" applyAlignment="1">
      <alignment horizontal="right" vertical="center" wrapText="1"/>
      <protection locked="0"/>
    </xf>
    <xf numFmtId="0" fontId="6" fillId="3" borderId="12" xfId="2" applyAlignment="1">
      <alignment horizontal="left" vertical="center" wrapText="1"/>
      <protection locked="0"/>
    </xf>
    <xf numFmtId="0" fontId="6" fillId="3" borderId="36" xfId="2" applyFill="1" applyBorder="1" applyAlignment="1">
      <alignment horizontal="center" vertical="center" wrapText="1"/>
      <protection locked="0"/>
    </xf>
    <xf numFmtId="6" fontId="6" fillId="3" borderId="58" xfId="2" applyNumberFormat="1" applyFill="1" applyBorder="1" applyAlignment="1">
      <alignment horizontal="right" vertical="center" wrapText="1"/>
      <protection locked="0"/>
    </xf>
    <xf numFmtId="0" fontId="6" fillId="3" borderId="12" xfId="2" applyBorder="1">
      <alignment horizontal="left" vertical="center" wrapText="1"/>
      <protection locked="0"/>
    </xf>
    <xf numFmtId="0" fontId="5" fillId="6" borderId="36" xfId="8" applyBorder="1">
      <alignment vertical="center" wrapText="1"/>
    </xf>
    <xf numFmtId="0" fontId="6" fillId="3" borderId="41" xfId="2" applyFill="1" applyBorder="1" applyAlignment="1">
      <alignment horizontal="center" vertical="center" wrapText="1"/>
      <protection locked="0"/>
    </xf>
    <xf numFmtId="0" fontId="6" fillId="3" borderId="44" xfId="2" applyFill="1" applyBorder="1" applyAlignment="1">
      <alignment horizontal="right" vertical="center" wrapText="1"/>
      <protection locked="0"/>
    </xf>
    <xf numFmtId="0" fontId="6" fillId="3" borderId="58" xfId="2" applyFill="1" applyBorder="1" applyAlignment="1">
      <alignment horizontal="right" vertical="center" wrapText="1"/>
      <protection locked="0"/>
    </xf>
    <xf numFmtId="0" fontId="6" fillId="3" borderId="12" xfId="2" applyAlignment="1">
      <alignment horizontal="left" vertical="center" wrapText="1" shrinkToFit="1"/>
      <protection locked="0"/>
    </xf>
    <xf numFmtId="8" fontId="6" fillId="3" borderId="44" xfId="2" applyNumberFormat="1" applyFill="1" applyBorder="1" applyAlignment="1">
      <alignment horizontal="right" vertical="center" wrapText="1"/>
      <protection locked="0"/>
    </xf>
    <xf numFmtId="0" fontId="6" fillId="6" borderId="15" xfId="2" applyFill="1" applyBorder="1" applyAlignment="1" applyProtection="1">
      <alignment horizontal="center" vertical="center" wrapText="1"/>
    </xf>
    <xf numFmtId="0" fontId="6" fillId="6" borderId="16" xfId="2" applyFill="1" applyBorder="1" applyAlignment="1" applyProtection="1">
      <alignment horizontal="right" vertical="center" wrapText="1"/>
    </xf>
    <xf numFmtId="8" fontId="6" fillId="3" borderId="59" xfId="2" applyNumberFormat="1" applyFill="1" applyBorder="1" applyAlignment="1">
      <alignment horizontal="right" vertical="center" wrapText="1"/>
      <protection locked="0"/>
    </xf>
    <xf numFmtId="8" fontId="6" fillId="3" borderId="73" xfId="2" applyNumberFormat="1" applyFill="1" applyBorder="1" applyAlignment="1">
      <alignment horizontal="right" vertical="center" wrapText="1"/>
      <protection locked="0"/>
    </xf>
    <xf numFmtId="0" fontId="5" fillId="6" borderId="47" xfId="7" applyBorder="1" applyProtection="1">
      <alignment vertical="center" wrapText="1"/>
    </xf>
    <xf numFmtId="0" fontId="6" fillId="6" borderId="46" xfId="2" applyFill="1" applyBorder="1" applyProtection="1">
      <alignment horizontal="left" vertical="center" wrapText="1"/>
    </xf>
    <xf numFmtId="0" fontId="6" fillId="6" borderId="72" xfId="2" applyFill="1" applyBorder="1" applyProtection="1">
      <alignment horizontal="left" vertical="center" wrapText="1"/>
    </xf>
    <xf numFmtId="0" fontId="6" fillId="6" borderId="72" xfId="2" applyFill="1" applyBorder="1" applyAlignment="1" applyProtection="1">
      <alignment horizontal="center" vertical="center" wrapText="1"/>
    </xf>
    <xf numFmtId="0" fontId="6" fillId="6" borderId="47" xfId="2" applyFill="1" applyBorder="1" applyAlignment="1" applyProtection="1">
      <alignment horizontal="right" vertical="center" wrapText="1"/>
    </xf>
    <xf numFmtId="8" fontId="6" fillId="3" borderId="38" xfId="2" applyNumberFormat="1" applyFill="1" applyBorder="1" applyAlignment="1">
      <alignment horizontal="right" vertical="center" wrapText="1"/>
      <protection locked="0"/>
    </xf>
    <xf numFmtId="0" fontId="6" fillId="6" borderId="42" xfId="2" applyFill="1" applyBorder="1" applyAlignment="1" applyProtection="1">
      <alignment horizontal="right" vertical="center" wrapText="1"/>
    </xf>
    <xf numFmtId="0" fontId="6" fillId="3" borderId="63" xfId="2" applyFill="1" applyBorder="1" applyAlignment="1">
      <alignment horizontal="center" vertical="center" wrapText="1"/>
      <protection locked="0"/>
    </xf>
    <xf numFmtId="0" fontId="5" fillId="6" borderId="31" xfId="7" applyBorder="1" applyAlignment="1" applyProtection="1">
      <alignment vertical="center" wrapText="1"/>
    </xf>
    <xf numFmtId="0" fontId="6" fillId="3" borderId="12" xfId="2" applyFont="1">
      <alignment horizontal="left" vertical="center" wrapText="1"/>
      <protection locked="0"/>
    </xf>
    <xf numFmtId="0" fontId="25" fillId="0" borderId="0" xfId="0" applyFont="1" applyAlignment="1">
      <alignment wrapText="1"/>
    </xf>
    <xf numFmtId="0" fontId="6" fillId="3" borderId="12" xfId="2" applyFont="1" applyFill="1" applyBorder="1">
      <alignment horizontal="left" vertical="center" wrapText="1"/>
      <protection locked="0"/>
    </xf>
    <xf numFmtId="8" fontId="6" fillId="3" borderId="58" xfId="2" applyNumberFormat="1" applyFill="1" applyBorder="1">
      <alignment horizontal="left" vertical="center" wrapText="1"/>
      <protection locked="0"/>
    </xf>
    <xf numFmtId="8" fontId="6" fillId="3" borderId="58" xfId="2" applyNumberFormat="1" applyFill="1" applyBorder="1" applyAlignment="1">
      <alignment horizontal="right" vertical="center" wrapText="1"/>
      <protection locked="0"/>
    </xf>
    <xf numFmtId="6" fontId="6" fillId="3" borderId="57" xfId="2" applyNumberFormat="1" applyFill="1" applyBorder="1" applyAlignment="1">
      <alignment horizontal="right" vertical="center" wrapText="1"/>
      <protection locked="0"/>
    </xf>
    <xf numFmtId="0" fontId="6" fillId="3" borderId="52" xfId="2" applyFill="1" applyBorder="1" applyAlignment="1">
      <alignment horizontal="right" vertical="center" wrapText="1"/>
      <protection locked="0"/>
    </xf>
    <xf numFmtId="6" fontId="6" fillId="3" borderId="38" xfId="2" applyNumberFormat="1" applyFill="1" applyBorder="1" applyAlignment="1">
      <alignment horizontal="right" vertical="center" wrapText="1"/>
      <protection locked="0"/>
    </xf>
    <xf numFmtId="6" fontId="6" fillId="3" borderId="67" xfId="2" applyNumberFormat="1" applyFill="1" applyBorder="1" applyAlignment="1">
      <alignment horizontal="right" vertical="center" wrapText="1"/>
      <protection locked="0"/>
    </xf>
    <xf numFmtId="0" fontId="6" fillId="3" borderId="38" xfId="2" applyFill="1" applyBorder="1" applyAlignment="1">
      <alignment horizontal="right" vertical="center" wrapText="1"/>
      <protection locked="0"/>
    </xf>
    <xf numFmtId="0" fontId="6" fillId="3" borderId="67" xfId="2" applyFill="1" applyBorder="1" applyAlignment="1">
      <alignment horizontal="right" vertical="center" wrapText="1"/>
      <protection locked="0"/>
    </xf>
    <xf numFmtId="3" fontId="6" fillId="3" borderId="44" xfId="2" applyNumberFormat="1" applyFill="1" applyBorder="1">
      <alignment horizontal="left" vertical="center" wrapText="1"/>
      <protection locked="0"/>
    </xf>
    <xf numFmtId="0" fontId="6" fillId="4" borderId="12" xfId="2" applyFill="1">
      <alignment horizontal="left" vertical="center" wrapText="1"/>
      <protection locked="0"/>
    </xf>
    <xf numFmtId="6" fontId="6" fillId="3" borderId="59" xfId="2" applyNumberFormat="1" applyFill="1" applyBorder="1">
      <alignment horizontal="left" vertical="center" wrapText="1"/>
      <protection locked="0"/>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6" borderId="16" xfId="2" applyFill="1" applyBorder="1" applyProtection="1">
      <alignment horizontal="left" vertical="center" wrapText="1"/>
    </xf>
    <xf numFmtId="0" fontId="6" fillId="3" borderId="58" xfId="2" applyFill="1" applyBorder="1">
      <alignment horizontal="left" vertical="center" wrapText="1"/>
      <protection locked="0"/>
    </xf>
    <xf numFmtId="0" fontId="6" fillId="3" borderId="59" xfId="2" applyFill="1" applyBorder="1">
      <alignment horizontal="left" vertical="center" wrapText="1"/>
      <protection locked="0"/>
    </xf>
    <xf numFmtId="0" fontId="6" fillId="3" borderId="27" xfId="2" applyFill="1" applyBorder="1">
      <alignment horizontal="left" vertical="center" wrapText="1"/>
      <protection locked="0"/>
    </xf>
    <xf numFmtId="0" fontId="6" fillId="3" borderId="62" xfId="2" applyFill="1" applyBorder="1">
      <alignment horizontal="left" vertical="center" wrapText="1"/>
      <protection locked="0"/>
    </xf>
    <xf numFmtId="0" fontId="6" fillId="3" borderId="63" xfId="2" applyFill="1" applyBorder="1">
      <alignment horizontal="left" vertical="center" wrapText="1"/>
      <protection locked="0"/>
    </xf>
    <xf numFmtId="0" fontId="6" fillId="3" borderId="52" xfId="2" applyFill="1" applyBorder="1">
      <alignment horizontal="left" vertical="center" wrapText="1"/>
      <protection locked="0"/>
    </xf>
    <xf numFmtId="14" fontId="6" fillId="3" borderId="40" xfId="2" applyNumberFormat="1" applyFill="1" applyBorder="1">
      <alignment horizontal="left" vertical="center" wrapText="1"/>
      <protection locked="0"/>
    </xf>
    <xf numFmtId="8" fontId="6" fillId="3" borderId="44" xfId="2" applyNumberFormat="1" applyFill="1" applyBorder="1">
      <alignment horizontal="left" vertical="center" wrapText="1"/>
      <protection locked="0"/>
    </xf>
    <xf numFmtId="8" fontId="6" fillId="3" borderId="57" xfId="2" applyNumberFormat="1" applyFill="1" applyBorder="1">
      <alignment horizontal="left" vertical="center" wrapText="1"/>
      <protection locked="0"/>
    </xf>
    <xf numFmtId="6" fontId="6" fillId="3" borderId="52" xfId="2" applyNumberFormat="1" applyFill="1" applyBorder="1">
      <alignment horizontal="left" vertical="center" wrapText="1"/>
      <protection locked="0"/>
    </xf>
    <xf numFmtId="0" fontId="6" fillId="3" borderId="41" xfId="2" applyFill="1" applyBorder="1" applyProtection="1">
      <alignment horizontal="left" vertical="center" wrapText="1"/>
      <protection locked="0"/>
    </xf>
    <xf numFmtId="0" fontId="1" fillId="6" borderId="30" xfId="6" applyFill="1" applyBorder="1">
      <alignment horizontal="center" vertical="center"/>
    </xf>
    <xf numFmtId="0" fontId="5" fillId="6" borderId="31" xfId="7" applyBorder="1" applyProtection="1">
      <alignment vertical="center" wrapText="1"/>
    </xf>
    <xf numFmtId="0" fontId="5" fillId="6" borderId="32" xfId="7" applyBorder="1" applyProtection="1">
      <alignment vertical="center" wrapText="1"/>
    </xf>
    <xf numFmtId="0" fontId="0" fillId="0" borderId="0" xfId="0"/>
    <xf numFmtId="0" fontId="5" fillId="6" borderId="36" xfId="8">
      <alignment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6" fillId="6" borderId="2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0" fillId="0" borderId="0" xfId="0" applyBorder="1"/>
    <xf numFmtId="0" fontId="5" fillId="6" borderId="12" xfId="7" applyBorder="1" applyProtection="1">
      <alignment vertical="center" wrapText="1"/>
    </xf>
    <xf numFmtId="0" fontId="5" fillId="6" borderId="36" xfId="8" applyBorder="1" applyProtection="1">
      <alignment vertical="center" wrapText="1"/>
    </xf>
    <xf numFmtId="0" fontId="0" fillId="0" borderId="43" xfId="0" applyBorder="1"/>
    <xf numFmtId="0" fontId="5" fillId="6" borderId="33" xfId="7" applyBorder="1" applyProtection="1">
      <alignment vertical="center" wrapText="1"/>
    </xf>
    <xf numFmtId="0" fontId="5" fillId="6" borderId="37" xfId="8" applyBorder="1">
      <alignment vertical="center" wrapText="1"/>
    </xf>
    <xf numFmtId="0" fontId="5" fillId="6" borderId="70" xfId="8" applyBorder="1">
      <alignment vertical="center" wrapText="1"/>
    </xf>
    <xf numFmtId="0" fontId="5" fillId="6" borderId="35" xfId="7" applyBorder="1" applyProtection="1">
      <alignment vertical="center" wrapText="1"/>
    </xf>
    <xf numFmtId="0" fontId="6" fillId="3" borderId="24" xfId="0" applyFont="1" applyFill="1" applyBorder="1" applyAlignment="1" applyProtection="1">
      <alignment horizontal="left" vertical="center" wrapText="1"/>
      <protection locked="0"/>
    </xf>
    <xf numFmtId="0" fontId="6" fillId="6" borderId="24"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5" fillId="6" borderId="24" xfId="8" applyBorder="1">
      <alignment vertical="center" wrapText="1"/>
    </xf>
    <xf numFmtId="0" fontId="5" fillId="6" borderId="25" xfId="8" applyBorder="1">
      <alignment vertical="center" wrapText="1"/>
    </xf>
    <xf numFmtId="0" fontId="5" fillId="6" borderId="33" xfId="7" applyBorder="1" applyAlignment="1" applyProtection="1">
      <alignment vertical="center" wrapText="1"/>
    </xf>
    <xf numFmtId="0" fontId="6" fillId="6" borderId="32" xfId="2" applyFill="1" applyBorder="1" applyAlignment="1" applyProtection="1">
      <alignment horizontal="left" vertical="center" wrapText="1"/>
    </xf>
    <xf numFmtId="0" fontId="6" fillId="6" borderId="15" xfId="2" applyFill="1" applyBorder="1" applyAlignment="1" applyProtection="1">
      <alignment horizontal="left" vertical="center" wrapText="1"/>
    </xf>
    <xf numFmtId="0" fontId="6" fillId="6" borderId="16" xfId="2" applyFill="1" applyBorder="1" applyAlignment="1" applyProtection="1">
      <alignment horizontal="left" vertical="center" wrapText="1"/>
    </xf>
    <xf numFmtId="0" fontId="0" fillId="0" borderId="0" xfId="0" applyAlignment="1"/>
    <xf numFmtId="0" fontId="6" fillId="3" borderId="35" xfId="2" applyFill="1" applyBorder="1" applyAlignment="1">
      <alignment horizontal="left" vertical="center" wrapText="1"/>
      <protection locked="0"/>
    </xf>
    <xf numFmtId="6" fontId="6" fillId="3" borderId="57" xfId="2" applyNumberFormat="1" applyFill="1" applyBorder="1" applyAlignment="1">
      <alignment horizontal="left" vertical="center" wrapText="1"/>
      <protection locked="0"/>
    </xf>
    <xf numFmtId="0" fontId="5" fillId="6" borderId="36" xfId="8" applyAlignment="1">
      <alignment vertical="center" wrapText="1"/>
    </xf>
    <xf numFmtId="0" fontId="6" fillId="3" borderId="37" xfId="2" applyFill="1" applyBorder="1" applyAlignment="1">
      <alignment horizontal="left" vertical="center" wrapText="1"/>
      <protection locked="0"/>
    </xf>
    <xf numFmtId="0" fontId="6" fillId="3" borderId="36" xfId="2" applyFill="1" applyBorder="1" applyAlignment="1">
      <alignment horizontal="left" vertical="center" wrapText="1"/>
      <protection locked="0"/>
    </xf>
    <xf numFmtId="8" fontId="6" fillId="3" borderId="59" xfId="2" applyNumberFormat="1" applyFill="1" applyBorder="1" applyAlignment="1">
      <alignment horizontal="left" vertical="center" wrapText="1"/>
      <protection locked="0"/>
    </xf>
    <xf numFmtId="0" fontId="6" fillId="3" borderId="12" xfId="2" applyFill="1" applyBorder="1" applyAlignment="1">
      <alignment horizontal="left" vertical="center" wrapText="1"/>
      <protection locked="0"/>
    </xf>
    <xf numFmtId="14" fontId="6" fillId="3" borderId="12" xfId="2" applyNumberFormat="1" applyFill="1" applyBorder="1" applyAlignment="1">
      <alignment horizontal="left" vertical="center" wrapText="1"/>
      <protection locked="0"/>
    </xf>
    <xf numFmtId="0" fontId="6" fillId="3" borderId="24" xfId="2" applyFill="1" applyBorder="1" applyAlignment="1">
      <alignment horizontal="left" vertical="center" wrapText="1"/>
      <protection locked="0"/>
    </xf>
    <xf numFmtId="0" fontId="6" fillId="3" borderId="25" xfId="2" applyFill="1" applyBorder="1" applyAlignment="1">
      <alignment horizontal="left" vertical="center" wrapText="1"/>
      <protection locked="0"/>
    </xf>
    <xf numFmtId="6" fontId="6" fillId="3" borderId="73" xfId="2" applyNumberFormat="1" applyFill="1" applyBorder="1" applyAlignment="1">
      <alignment horizontal="left" vertical="center" wrapText="1"/>
      <protection locked="0"/>
    </xf>
    <xf numFmtId="0" fontId="1" fillId="6" borderId="43" xfId="6" applyFill="1" applyBorder="1" applyAlignment="1">
      <alignment horizontal="center" vertical="center" wrapText="1"/>
    </xf>
    <xf numFmtId="0" fontId="6" fillId="3" borderId="41" xfId="2" applyFill="1" applyBorder="1" applyAlignment="1">
      <alignment horizontal="left" vertical="center" wrapText="1"/>
      <protection locked="0"/>
    </xf>
    <xf numFmtId="6" fontId="6" fillId="3" borderId="61" xfId="2" applyNumberFormat="1" applyFill="1" applyBorder="1" applyAlignment="1">
      <alignment horizontal="left" vertical="center" wrapText="1"/>
      <protection locked="0"/>
    </xf>
    <xf numFmtId="0" fontId="6" fillId="3" borderId="40" xfId="2" applyBorder="1">
      <alignment horizontal="left" vertical="center" wrapText="1"/>
      <protection locked="0"/>
    </xf>
    <xf numFmtId="0" fontId="6" fillId="3" borderId="40" xfId="2" applyFill="1" applyBorder="1" applyAlignment="1">
      <alignment horizontal="left" vertical="center" wrapText="1"/>
      <protection locked="0"/>
    </xf>
    <xf numFmtId="14" fontId="6" fillId="3" borderId="40" xfId="2" applyNumberFormat="1" applyFill="1" applyBorder="1" applyAlignment="1">
      <alignment horizontal="left" vertical="center" wrapText="1"/>
      <protection locked="0"/>
    </xf>
    <xf numFmtId="0" fontId="6" fillId="3" borderId="26" xfId="2" applyFill="1" applyBorder="1" applyAlignment="1">
      <alignment horizontal="left" vertical="center" wrapText="1"/>
      <protection locked="0"/>
    </xf>
    <xf numFmtId="0" fontId="6" fillId="3" borderId="27" xfId="2" applyFill="1" applyBorder="1" applyAlignment="1">
      <alignment horizontal="left" vertical="center" wrapText="1"/>
      <protection locked="0"/>
    </xf>
    <xf numFmtId="0" fontId="6" fillId="3" borderId="63" xfId="2" applyFill="1" applyBorder="1" applyAlignment="1">
      <alignment horizontal="left" vertical="center" wrapText="1"/>
      <protection locked="0"/>
    </xf>
    <xf numFmtId="6" fontId="6" fillId="3" borderId="52" xfId="2" applyNumberFormat="1" applyFill="1" applyBorder="1" applyAlignment="1">
      <alignment horizontal="left" vertical="center" wrapText="1"/>
      <protection locked="0"/>
    </xf>
    <xf numFmtId="0" fontId="0" fillId="0" borderId="1" xfId="0" applyBorder="1" applyAlignment="1"/>
    <xf numFmtId="0" fontId="25" fillId="0" borderId="0" xfId="0" applyFont="1"/>
    <xf numFmtId="16" fontId="6" fillId="3" borderId="27" xfId="2" applyNumberFormat="1" applyFill="1" applyBorder="1">
      <alignment horizontal="left" vertical="center" wrapText="1"/>
      <protection locked="0"/>
    </xf>
    <xf numFmtId="0" fontId="5" fillId="11" borderId="36" xfId="8" applyFill="1">
      <alignment vertical="center" wrapText="1"/>
    </xf>
    <xf numFmtId="0" fontId="6" fillId="3" borderId="57" xfId="2" applyFill="1" applyBorder="1" applyAlignment="1">
      <alignment horizontal="right" vertical="center" wrapText="1"/>
      <protection locked="0"/>
    </xf>
    <xf numFmtId="0" fontId="6" fillId="3" borderId="59" xfId="2" applyFill="1" applyBorder="1" applyAlignment="1">
      <alignment horizontal="right" vertical="center" wrapText="1"/>
      <protection locked="0"/>
    </xf>
    <xf numFmtId="0" fontId="6" fillId="3" borderId="77" xfId="2" applyFill="1" applyBorder="1">
      <alignment horizontal="left" vertical="center" wrapText="1"/>
      <protection locked="0"/>
    </xf>
    <xf numFmtId="14" fontId="6" fillId="3" borderId="77" xfId="2" applyNumberFormat="1" applyFill="1" applyBorder="1">
      <alignment horizontal="left" vertical="center" wrapText="1"/>
      <protection locked="0"/>
    </xf>
    <xf numFmtId="0" fontId="6" fillId="3" borderId="78" xfId="2" applyFill="1" applyBorder="1">
      <alignment horizontal="left" vertical="center" wrapText="1"/>
      <protection locked="0"/>
    </xf>
    <xf numFmtId="0" fontId="6" fillId="3" borderId="79" xfId="2" applyFill="1" applyBorder="1">
      <alignment horizontal="left" vertical="center" wrapText="1"/>
      <protection locked="0"/>
    </xf>
    <xf numFmtId="0" fontId="6" fillId="3" borderId="80" xfId="2" applyFill="1" applyBorder="1">
      <alignment horizontal="left" vertical="center" wrapText="1"/>
      <protection locked="0"/>
    </xf>
    <xf numFmtId="0" fontId="6" fillId="3" borderId="81" xfId="2" applyFill="1" applyBorder="1" applyAlignment="1">
      <alignment horizontal="center" vertical="center" wrapText="1"/>
      <protection locked="0"/>
    </xf>
    <xf numFmtId="0" fontId="6" fillId="3" borderId="82" xfId="2" applyFill="1" applyBorder="1" applyAlignment="1">
      <alignment horizontal="right" vertical="center" wrapText="1"/>
      <protection locked="0"/>
    </xf>
    <xf numFmtId="14" fontId="6" fillId="3" borderId="24" xfId="0" applyNumberFormat="1" applyFont="1" applyFill="1" applyBorder="1" applyAlignment="1" applyProtection="1">
      <alignment horizontal="left" vertical="center" wrapText="1"/>
      <protection locked="0"/>
    </xf>
    <xf numFmtId="0" fontId="6" fillId="3" borderId="9" xfId="2" applyBorder="1">
      <alignment horizontal="left" vertical="center" wrapText="1"/>
      <protection locked="0"/>
    </xf>
    <xf numFmtId="0" fontId="6" fillId="3" borderId="28" xfId="2" applyBorder="1">
      <alignment horizontal="left" vertical="center" wrapText="1"/>
      <protection locked="0"/>
    </xf>
    <xf numFmtId="3" fontId="6" fillId="3" borderId="58" xfId="2" applyNumberFormat="1" applyFill="1" applyBorder="1">
      <alignment horizontal="left" vertical="center" wrapText="1"/>
      <protection locked="0"/>
    </xf>
    <xf numFmtId="14" fontId="6" fillId="3" borderId="26" xfId="2" applyNumberFormat="1" applyFill="1" applyBorder="1">
      <alignment horizontal="left" vertical="center" wrapText="1"/>
      <protection locked="0"/>
    </xf>
    <xf numFmtId="0" fontId="6" fillId="3" borderId="87" xfId="2" applyFill="1" applyBorder="1">
      <alignment horizontal="left" vertical="center" wrapText="1"/>
      <protection locked="0"/>
    </xf>
    <xf numFmtId="14" fontId="6" fillId="3" borderId="88" xfId="2" applyNumberFormat="1" applyFill="1" applyBorder="1">
      <alignment horizontal="left" vertical="center" wrapText="1"/>
      <protection locked="0"/>
    </xf>
    <xf numFmtId="3" fontId="6" fillId="3" borderId="57" xfId="2" applyNumberFormat="1" applyFill="1" applyBorder="1">
      <alignment horizontal="left" vertical="center" wrapText="1"/>
      <protection locked="0"/>
    </xf>
    <xf numFmtId="3" fontId="6" fillId="3" borderId="59" xfId="2" applyNumberFormat="1" applyFill="1" applyBorder="1">
      <alignment horizontal="left" vertical="center" wrapText="1"/>
      <protection locked="0"/>
    </xf>
    <xf numFmtId="0" fontId="6" fillId="3" borderId="18" xfId="2" applyFill="1" applyBorder="1">
      <alignment horizontal="left" vertical="center" wrapText="1"/>
      <protection locked="0"/>
    </xf>
    <xf numFmtId="3" fontId="6" fillId="3" borderId="38" xfId="2" applyNumberFormat="1" applyFill="1" applyBorder="1">
      <alignment horizontal="left" vertical="center" wrapText="1"/>
      <protection locked="0"/>
    </xf>
    <xf numFmtId="0" fontId="6" fillId="3" borderId="88" xfId="2" applyFill="1" applyBorder="1">
      <alignment horizontal="left" vertical="center" wrapText="1"/>
      <protection locked="0"/>
    </xf>
    <xf numFmtId="14" fontId="6" fillId="3" borderId="78" xfId="2" applyNumberFormat="1" applyFill="1" applyBorder="1">
      <alignment horizontal="left" vertical="center" wrapText="1"/>
      <protection locked="0"/>
    </xf>
    <xf numFmtId="0" fontId="6" fillId="3" borderId="64" xfId="2" applyFill="1" applyBorder="1">
      <alignment horizontal="left" vertical="center" wrapText="1"/>
      <protection locked="0"/>
    </xf>
    <xf numFmtId="0" fontId="6" fillId="3" borderId="65" xfId="2" applyFill="1" applyBorder="1">
      <alignment horizontal="left" vertical="center" wrapText="1"/>
      <protection locked="0"/>
    </xf>
    <xf numFmtId="0" fontId="6" fillId="3" borderId="82" xfId="2" applyFill="1" applyBorder="1">
      <alignment horizontal="left" vertical="center" wrapText="1"/>
      <protection locked="0"/>
    </xf>
    <xf numFmtId="0" fontId="6" fillId="0" borderId="41" xfId="0" applyFont="1" applyFill="1" applyBorder="1" applyAlignment="1">
      <alignment horizontal="left" wrapText="1"/>
    </xf>
    <xf numFmtId="0" fontId="5" fillId="6" borderId="24" xfId="8" applyBorder="1" applyAlignment="1">
      <alignment horizontal="left" vertical="center" wrapText="1"/>
    </xf>
    <xf numFmtId="0" fontId="6" fillId="0" borderId="36" xfId="2" applyFill="1" applyBorder="1" applyAlignment="1">
      <alignment horizontal="center" vertical="center" wrapText="1"/>
      <protection locked="0"/>
    </xf>
    <xf numFmtId="0" fontId="6" fillId="3" borderId="40" xfId="2" applyFill="1" applyBorder="1" applyAlignment="1">
      <alignment horizontal="left" vertical="center" wrapText="1"/>
      <protection locked="0"/>
    </xf>
    <xf numFmtId="0" fontId="6" fillId="3" borderId="46" xfId="2" applyFill="1" applyBorder="1" applyAlignment="1">
      <alignment horizontal="left" vertical="center" wrapText="1"/>
      <protection locked="0"/>
    </xf>
    <xf numFmtId="6" fontId="6" fillId="3" borderId="59" xfId="2" applyNumberFormat="1" applyFill="1" applyBorder="1" applyAlignment="1">
      <alignment vertical="center" wrapText="1"/>
      <protection locked="0"/>
    </xf>
    <xf numFmtId="14" fontId="6" fillId="3" borderId="25" xfId="2" applyNumberFormat="1" applyFill="1" applyBorder="1">
      <alignment horizontal="left" vertical="center" wrapText="1"/>
      <protection locked="0"/>
    </xf>
    <xf numFmtId="6" fontId="6" fillId="3" borderId="73" xfId="2" applyNumberFormat="1" applyFill="1" applyBorder="1" applyAlignment="1">
      <alignment horizontal="right" vertical="center" wrapText="1"/>
      <protection locked="0"/>
    </xf>
    <xf numFmtId="0" fontId="5" fillId="6" borderId="91" xfId="7" applyBorder="1" applyProtection="1">
      <alignment vertical="center" wrapText="1"/>
    </xf>
    <xf numFmtId="0" fontId="5" fillId="6" borderId="92" xfId="7" applyBorder="1" applyProtection="1">
      <alignment vertical="center" wrapText="1"/>
    </xf>
    <xf numFmtId="0" fontId="6" fillId="6" borderId="48" xfId="2" applyFill="1" applyBorder="1" applyProtection="1">
      <alignment horizontal="left" vertical="center" wrapText="1"/>
    </xf>
    <xf numFmtId="0" fontId="6" fillId="6" borderId="7" xfId="2" applyFill="1" applyBorder="1" applyProtection="1">
      <alignment horizontal="left" vertical="center" wrapText="1"/>
    </xf>
    <xf numFmtId="0" fontId="6" fillId="6" borderId="8" xfId="2" applyFill="1" applyBorder="1" applyProtection="1">
      <alignment horizontal="left" vertical="center" wrapText="1"/>
    </xf>
    <xf numFmtId="6" fontId="6" fillId="3" borderId="76" xfId="2" applyNumberFormat="1" applyFill="1" applyBorder="1" applyAlignment="1">
      <alignment vertical="center" wrapText="1"/>
      <protection locked="0"/>
    </xf>
    <xf numFmtId="0" fontId="5" fillId="0" borderId="36" xfId="8" applyFill="1" applyBorder="1">
      <alignment vertical="center" wrapText="1"/>
    </xf>
    <xf numFmtId="6" fontId="6" fillId="3" borderId="93" xfId="2" applyNumberFormat="1" applyFill="1" applyBorder="1" applyAlignment="1">
      <alignment horizontal="right" vertical="center" wrapText="1"/>
      <protection locked="0"/>
    </xf>
    <xf numFmtId="0" fontId="6" fillId="0" borderId="78" xfId="2" applyFill="1" applyBorder="1">
      <alignment horizontal="left" vertical="center" wrapText="1"/>
      <protection locked="0"/>
    </xf>
    <xf numFmtId="0" fontId="0" fillId="0" borderId="81" xfId="0" applyBorder="1"/>
    <xf numFmtId="6" fontId="25" fillId="0" borderId="94" xfId="0" applyNumberFormat="1" applyFont="1" applyBorder="1" applyAlignment="1">
      <alignment horizontal="right"/>
    </xf>
    <xf numFmtId="0" fontId="5" fillId="6" borderId="25" xfId="7" applyBorder="1" applyProtection="1">
      <alignment vertical="center" wrapText="1"/>
    </xf>
    <xf numFmtId="0" fontId="6" fillId="6" borderId="24" xfId="2" applyFill="1" applyBorder="1" applyProtection="1">
      <alignment horizontal="left" vertical="center" wrapText="1"/>
    </xf>
    <xf numFmtId="0" fontId="6" fillId="6" borderId="0" xfId="2" applyFill="1" applyBorder="1" applyProtection="1">
      <alignment horizontal="left" vertical="center" wrapText="1"/>
    </xf>
    <xf numFmtId="0" fontId="6" fillId="6" borderId="11" xfId="2" applyFill="1" applyBorder="1" applyProtection="1">
      <alignment horizontal="left" vertical="center" wrapText="1"/>
    </xf>
    <xf numFmtId="3" fontId="6" fillId="4" borderId="44" xfId="2" applyNumberFormat="1" applyFill="1" applyBorder="1" applyAlignment="1">
      <alignment horizontal="right" vertical="center" wrapText="1"/>
      <protection locked="0"/>
    </xf>
    <xf numFmtId="6" fontId="6" fillId="3" borderId="61" xfId="2" applyNumberFormat="1" applyFill="1" applyBorder="1" applyAlignment="1">
      <alignment horizontal="right" vertical="center" wrapText="1"/>
      <protection locked="0"/>
    </xf>
    <xf numFmtId="0" fontId="6" fillId="0" borderId="81" xfId="8" applyFont="1" applyFill="1" applyBorder="1">
      <alignment vertical="center" wrapText="1"/>
    </xf>
    <xf numFmtId="0" fontId="6" fillId="0" borderId="81" xfId="8" applyFont="1" applyFill="1" applyBorder="1" applyAlignment="1">
      <alignment horizontal="left" vertical="center" wrapText="1"/>
    </xf>
    <xf numFmtId="14" fontId="6" fillId="0" borderId="81" xfId="8" applyNumberFormat="1" applyFont="1" applyFill="1" applyBorder="1" applyAlignment="1">
      <alignment horizontal="left" vertical="center" wrapText="1"/>
    </xf>
    <xf numFmtId="0" fontId="5" fillId="0" borderId="81" xfId="8" applyFill="1" applyBorder="1">
      <alignment vertical="center" wrapText="1"/>
    </xf>
    <xf numFmtId="0" fontId="6" fillId="0" borderId="95" xfId="8" applyFont="1" applyFill="1" applyBorder="1" applyAlignment="1">
      <alignment horizontal="left" vertical="center" wrapText="1"/>
    </xf>
    <xf numFmtId="0" fontId="5" fillId="6" borderId="78" xfId="8" applyFill="1" applyBorder="1" applyAlignment="1">
      <alignment horizontal="center" wrapText="1"/>
    </xf>
    <xf numFmtId="0" fontId="5" fillId="6" borderId="66" xfId="8" applyFill="1" applyBorder="1" applyAlignment="1">
      <alignment horizontal="center" wrapText="1"/>
    </xf>
    <xf numFmtId="0" fontId="5" fillId="6" borderId="79" xfId="8" applyFill="1" applyBorder="1" applyAlignment="1">
      <alignment horizontal="center" wrapText="1"/>
    </xf>
    <xf numFmtId="0" fontId="27" fillId="0" borderId="24" xfId="0" applyFont="1" applyBorder="1" applyAlignment="1">
      <alignment vertical="center" wrapText="1"/>
    </xf>
    <xf numFmtId="0" fontId="0" fillId="0" borderId="63" xfId="0" applyBorder="1" applyAlignment="1">
      <alignment wrapText="1"/>
    </xf>
    <xf numFmtId="8" fontId="0" fillId="0" borderId="52" xfId="0" applyNumberFormat="1" applyBorder="1" applyAlignment="1">
      <alignment wrapText="1"/>
    </xf>
    <xf numFmtId="0" fontId="0" fillId="0" borderId="0" xfId="0" applyAlignment="1">
      <alignment wrapText="1"/>
    </xf>
    <xf numFmtId="0" fontId="5" fillId="6" borderId="96" xfId="7" applyBorder="1" applyProtection="1">
      <alignment vertical="center" wrapText="1"/>
    </xf>
    <xf numFmtId="0" fontId="6" fillId="6" borderId="96" xfId="2" applyFill="1" applyBorder="1" applyProtection="1">
      <alignment horizontal="left" vertical="center" wrapText="1"/>
    </xf>
    <xf numFmtId="0" fontId="6" fillId="6" borderId="97" xfId="2" applyFill="1" applyBorder="1" applyProtection="1">
      <alignment horizontal="left" vertical="center" wrapText="1"/>
    </xf>
    <xf numFmtId="0" fontId="6" fillId="3" borderId="41" xfId="2" applyBorder="1">
      <alignment horizontal="left" vertical="center" wrapText="1"/>
      <protection locked="0"/>
    </xf>
    <xf numFmtId="14" fontId="6" fillId="3" borderId="41" xfId="0" applyNumberFormat="1" applyFont="1" applyFill="1" applyBorder="1" applyAlignment="1" applyProtection="1">
      <alignment horizontal="left" vertical="center" wrapText="1"/>
      <protection locked="0"/>
    </xf>
    <xf numFmtId="0" fontId="5" fillId="6" borderId="41" xfId="8" applyBorder="1">
      <alignment vertical="center" wrapText="1"/>
    </xf>
    <xf numFmtId="0" fontId="5" fillId="0" borderId="41" xfId="8" applyFill="1" applyBorder="1">
      <alignment vertical="center" wrapText="1"/>
    </xf>
    <xf numFmtId="0" fontId="6" fillId="0" borderId="81" xfId="2" applyFill="1" applyBorder="1">
      <alignment horizontal="left" vertical="center" wrapText="1"/>
      <protection locked="0"/>
    </xf>
    <xf numFmtId="0" fontId="6" fillId="3" borderId="81" xfId="2" applyFill="1" applyBorder="1">
      <alignment horizontal="left" vertical="center" wrapText="1"/>
      <protection locked="0"/>
    </xf>
    <xf numFmtId="6" fontId="25" fillId="0" borderId="94" xfId="0" applyNumberFormat="1" applyFont="1" applyBorder="1"/>
    <xf numFmtId="0" fontId="6" fillId="0" borderId="36" xfId="8" applyFont="1" applyFill="1" applyAlignment="1">
      <alignment horizontal="left" vertical="center" wrapText="1"/>
    </xf>
    <xf numFmtId="14" fontId="6" fillId="0" borderId="36" xfId="2" applyNumberFormat="1" applyFont="1" applyFill="1" applyBorder="1" applyAlignment="1">
      <alignment horizontal="left" vertical="center" wrapText="1"/>
      <protection locked="0"/>
    </xf>
    <xf numFmtId="0" fontId="6" fillId="6" borderId="36" xfId="8" applyFont="1">
      <alignment vertical="center" wrapText="1"/>
    </xf>
    <xf numFmtId="0" fontId="6" fillId="0" borderId="70" xfId="8" applyFont="1" applyFill="1" applyBorder="1" applyAlignment="1">
      <alignment horizontal="left" vertical="center" wrapText="1"/>
    </xf>
    <xf numFmtId="0" fontId="6" fillId="3" borderId="12" xfId="2" applyAlignment="1">
      <alignment vertical="center" wrapText="1"/>
      <protection locked="0"/>
    </xf>
    <xf numFmtId="0" fontId="6" fillId="0" borderId="36" xfId="8" applyFont="1" applyFill="1">
      <alignment vertical="center" wrapText="1"/>
    </xf>
    <xf numFmtId="0" fontId="6" fillId="0" borderId="46" xfId="2" applyFont="1" applyFill="1" applyBorder="1">
      <alignment horizontal="left" vertical="center" wrapText="1"/>
      <protection locked="0"/>
    </xf>
    <xf numFmtId="0" fontId="5" fillId="0" borderId="36" xfId="8" applyFill="1">
      <alignment vertical="center" wrapText="1"/>
    </xf>
    <xf numFmtId="0" fontId="5" fillId="0" borderId="0" xfId="8" applyFill="1" applyBorder="1">
      <alignment vertical="center" wrapText="1"/>
    </xf>
    <xf numFmtId="0" fontId="6" fillId="3" borderId="66" xfId="2" applyFill="1" applyBorder="1">
      <alignment horizontal="left" vertical="center" wrapText="1"/>
      <protection locked="0"/>
    </xf>
    <xf numFmtId="6" fontId="6" fillId="3" borderId="82" xfId="2" applyNumberFormat="1" applyFill="1" applyBorder="1" applyAlignment="1">
      <alignment horizontal="right" vertical="center" wrapText="1"/>
      <protection locked="0"/>
    </xf>
    <xf numFmtId="0" fontId="5" fillId="0" borderId="12" xfId="8" applyFill="1" applyBorder="1">
      <alignment vertical="center" wrapText="1"/>
    </xf>
    <xf numFmtId="14" fontId="6" fillId="0" borderId="36" xfId="8" applyNumberFormat="1" applyFont="1" applyFill="1" applyAlignment="1">
      <alignment horizontal="left" vertical="center" wrapText="1"/>
    </xf>
    <xf numFmtId="3" fontId="6" fillId="3" borderId="44" xfId="2" applyNumberFormat="1" applyFill="1" applyBorder="1" applyAlignment="1">
      <alignment horizontal="right" vertical="center" wrapText="1"/>
      <protection locked="0"/>
    </xf>
    <xf numFmtId="14" fontId="6" fillId="3" borderId="36" xfId="2" applyNumberFormat="1" applyFill="1" applyBorder="1" applyAlignment="1">
      <alignment horizontal="left" vertical="center" wrapText="1"/>
      <protection locked="0"/>
    </xf>
    <xf numFmtId="0" fontId="5" fillId="6" borderId="36" xfId="8" applyAlignment="1">
      <alignment horizontal="left" vertical="center" wrapText="1"/>
    </xf>
    <xf numFmtId="0" fontId="6" fillId="3" borderId="70" xfId="2" applyFill="1" applyBorder="1" applyAlignment="1">
      <alignment horizontal="left" vertical="center" wrapText="1"/>
      <protection locked="0"/>
    </xf>
    <xf numFmtId="3" fontId="6" fillId="3" borderId="38" xfId="2" applyNumberFormat="1" applyFill="1" applyBorder="1" applyAlignment="1">
      <alignment horizontal="right" vertical="center" wrapText="1"/>
      <protection locked="0"/>
    </xf>
    <xf numFmtId="0" fontId="6" fillId="3" borderId="12" xfId="2" applyFill="1" applyBorder="1" applyAlignment="1">
      <alignment horizontal="center" vertical="center" wrapText="1"/>
      <protection locked="0"/>
    </xf>
    <xf numFmtId="7" fontId="6" fillId="3" borderId="38" xfId="2" applyNumberFormat="1" applyFill="1" applyBorder="1" applyAlignment="1">
      <alignment horizontal="right" vertical="center" wrapText="1"/>
      <protection locked="0"/>
    </xf>
    <xf numFmtId="4" fontId="6" fillId="3" borderId="38" xfId="2" applyNumberFormat="1" applyFill="1" applyBorder="1" applyAlignment="1">
      <alignment horizontal="right" vertical="center" wrapText="1"/>
      <protection locked="0"/>
    </xf>
    <xf numFmtId="8" fontId="6" fillId="3" borderId="82" xfId="2" applyNumberFormat="1" applyFill="1" applyBorder="1" applyAlignment="1">
      <alignment horizontal="right" vertical="center" wrapText="1"/>
      <protection locked="0"/>
    </xf>
    <xf numFmtId="44" fontId="6" fillId="3" borderId="44" xfId="10" applyFont="1" applyFill="1" applyBorder="1" applyAlignment="1" applyProtection="1">
      <alignment horizontal="right" vertical="center" wrapText="1"/>
      <protection locked="0"/>
    </xf>
    <xf numFmtId="44" fontId="6" fillId="3" borderId="58" xfId="10" applyFont="1" applyFill="1" applyBorder="1" applyAlignment="1" applyProtection="1">
      <alignment horizontal="right" vertical="center" wrapText="1"/>
      <protection locked="0"/>
    </xf>
    <xf numFmtId="44" fontId="6" fillId="3" borderId="38" xfId="10" applyFont="1" applyFill="1" applyBorder="1" applyAlignment="1" applyProtection="1">
      <alignment horizontal="right" vertical="center" wrapText="1"/>
      <protection locked="0"/>
    </xf>
    <xf numFmtId="44" fontId="6" fillId="3" borderId="63" xfId="10" applyFont="1" applyFill="1" applyBorder="1" applyAlignment="1" applyProtection="1">
      <alignment horizontal="right" vertical="center" wrapText="1"/>
      <protection locked="0"/>
    </xf>
    <xf numFmtId="44" fontId="6" fillId="3" borderId="67" xfId="10" applyFont="1" applyFill="1" applyBorder="1" applyAlignment="1" applyProtection="1">
      <alignment horizontal="right" vertical="center" wrapText="1"/>
      <protection locked="0"/>
    </xf>
    <xf numFmtId="44" fontId="6" fillId="3" borderId="57" xfId="10" applyFont="1" applyFill="1" applyBorder="1" applyAlignment="1" applyProtection="1">
      <alignment horizontal="right" vertical="center" wrapText="1"/>
      <protection locked="0"/>
    </xf>
    <xf numFmtId="44" fontId="6" fillId="3" borderId="52" xfId="10" applyFont="1" applyFill="1" applyBorder="1" applyAlignment="1" applyProtection="1">
      <alignment horizontal="right" vertical="center" wrapText="1"/>
      <protection locked="0"/>
    </xf>
    <xf numFmtId="0" fontId="6" fillId="3" borderId="26" xfId="2" applyFill="1" applyBorder="1">
      <alignment horizontal="left" vertical="center" wrapText="1"/>
      <protection locked="0"/>
    </xf>
    <xf numFmtId="0" fontId="6" fillId="6" borderId="16" xfId="2" applyFill="1" applyBorder="1" applyAlignment="1" applyProtection="1">
      <alignment horizontal="center" vertical="center" wrapText="1"/>
    </xf>
    <xf numFmtId="8" fontId="6" fillId="3" borderId="44" xfId="2" applyNumberFormat="1" applyFill="1" applyBorder="1" applyAlignment="1">
      <alignment horizontal="center" vertical="center" wrapText="1"/>
      <protection locked="0"/>
    </xf>
    <xf numFmtId="8" fontId="6" fillId="3" borderId="58" xfId="2" applyNumberFormat="1" applyFill="1" applyBorder="1" applyAlignment="1">
      <alignment horizontal="center" vertical="center" wrapText="1"/>
      <protection locked="0"/>
    </xf>
    <xf numFmtId="8" fontId="6" fillId="3" borderId="59" xfId="2" applyNumberFormat="1" applyFill="1" applyBorder="1">
      <alignment horizontal="left" vertical="center" wrapText="1"/>
      <protection locked="0"/>
    </xf>
    <xf numFmtId="8" fontId="6" fillId="3" borderId="52" xfId="2" applyNumberFormat="1" applyFill="1" applyBorder="1">
      <alignment horizontal="left" vertical="center" wrapText="1"/>
      <protection locked="0"/>
    </xf>
    <xf numFmtId="8" fontId="6" fillId="3" borderId="52" xfId="2" applyNumberFormat="1" applyFill="1" applyBorder="1" applyAlignment="1">
      <alignment horizontal="right" vertical="center" wrapText="1"/>
      <protection locked="0"/>
    </xf>
    <xf numFmtId="8" fontId="6" fillId="3" borderId="38" xfId="2" applyNumberFormat="1" applyFill="1" applyBorder="1" applyAlignment="1">
      <alignment horizontal="center" vertical="center" wrapText="1"/>
      <protection locked="0"/>
    </xf>
    <xf numFmtId="0" fontId="5" fillId="6" borderId="31" xfId="7" applyFont="1" applyBorder="1" applyProtection="1">
      <alignment vertical="center" wrapText="1"/>
    </xf>
    <xf numFmtId="0" fontId="5" fillId="6" borderId="31" xfId="7" applyFont="1" applyBorder="1" applyAlignment="1" applyProtection="1">
      <alignment vertical="center" wrapText="1"/>
    </xf>
    <xf numFmtId="0" fontId="6" fillId="6" borderId="32" xfId="2" applyFont="1" applyFill="1" applyBorder="1" applyProtection="1">
      <alignment horizontal="left" vertical="center" wrapText="1"/>
    </xf>
    <xf numFmtId="0" fontId="6" fillId="6" borderId="15" xfId="2" applyFont="1" applyFill="1" applyBorder="1" applyProtection="1">
      <alignment horizontal="left" vertical="center" wrapText="1"/>
    </xf>
    <xf numFmtId="0" fontId="6" fillId="6" borderId="16" xfId="2" applyFont="1" applyFill="1" applyBorder="1" applyProtection="1">
      <alignment horizontal="left" vertical="center" wrapText="1"/>
    </xf>
    <xf numFmtId="0" fontId="28" fillId="3" borderId="12" xfId="2" applyFont="1">
      <alignment horizontal="left" vertical="center" wrapText="1"/>
      <protection locked="0"/>
    </xf>
    <xf numFmtId="0" fontId="29" fillId="0" borderId="0" xfId="0" applyFont="1" applyAlignment="1">
      <alignment wrapText="1"/>
    </xf>
    <xf numFmtId="14" fontId="30" fillId="0" borderId="41" xfId="0" applyNumberFormat="1" applyFont="1" applyBorder="1" applyAlignment="1">
      <alignment horizontal="center"/>
    </xf>
    <xf numFmtId="0" fontId="30" fillId="0" borderId="0" xfId="0" applyFont="1" applyAlignment="1">
      <alignment wrapText="1"/>
    </xf>
    <xf numFmtId="0" fontId="28" fillId="3" borderId="35" xfId="2" applyFont="1" applyFill="1" applyBorder="1">
      <alignment horizontal="left" vertical="center" wrapText="1"/>
      <protection locked="0"/>
    </xf>
    <xf numFmtId="6" fontId="28" fillId="3" borderId="44" xfId="2" applyNumberFormat="1" applyFont="1" applyFill="1" applyBorder="1">
      <alignment horizontal="left" vertical="center" wrapText="1"/>
      <protection locked="0"/>
    </xf>
    <xf numFmtId="0" fontId="31" fillId="6" borderId="36" xfId="8" applyFont="1">
      <alignment vertical="center" wrapText="1"/>
    </xf>
    <xf numFmtId="0" fontId="31" fillId="6" borderId="36" xfId="8" applyFont="1" applyAlignment="1">
      <alignment vertical="center" wrapText="1"/>
    </xf>
    <xf numFmtId="0" fontId="28" fillId="3" borderId="37" xfId="2" applyFont="1" applyFill="1" applyBorder="1">
      <alignment horizontal="left" vertical="center" wrapText="1"/>
      <protection locked="0"/>
    </xf>
    <xf numFmtId="0" fontId="28" fillId="3" borderId="36" xfId="2" applyFont="1" applyFill="1" applyBorder="1">
      <alignment horizontal="left" vertical="center" wrapText="1"/>
      <protection locked="0"/>
    </xf>
    <xf numFmtId="6" fontId="28" fillId="3" borderId="58" xfId="2" applyNumberFormat="1" applyFont="1" applyFill="1" applyBorder="1">
      <alignment horizontal="left" vertical="center" wrapText="1"/>
      <protection locked="0"/>
    </xf>
    <xf numFmtId="0" fontId="28" fillId="3" borderId="12" xfId="2" applyFont="1" applyFill="1" applyBorder="1">
      <alignment horizontal="left" vertical="center" wrapText="1"/>
      <protection locked="0"/>
    </xf>
    <xf numFmtId="0" fontId="28" fillId="3" borderId="12" xfId="2" applyFont="1" applyFill="1" applyBorder="1" applyAlignment="1">
      <alignment horizontal="left" vertical="center" wrapText="1"/>
      <protection locked="0"/>
    </xf>
    <xf numFmtId="14" fontId="28" fillId="3" borderId="40" xfId="2" applyNumberFormat="1" applyFont="1" applyFill="1" applyBorder="1">
      <alignment horizontal="left" vertical="center" wrapText="1"/>
      <protection locked="0"/>
    </xf>
    <xf numFmtId="0" fontId="28" fillId="3" borderId="46" xfId="2" applyFont="1" applyFill="1" applyBorder="1">
      <alignment horizontal="left" vertical="center" wrapText="1"/>
      <protection locked="0"/>
    </xf>
    <xf numFmtId="14" fontId="30" fillId="0" borderId="41" xfId="0" applyNumberFormat="1" applyFont="1" applyBorder="1" applyAlignment="1">
      <alignment horizontal="center" wrapText="1"/>
    </xf>
    <xf numFmtId="0" fontId="6" fillId="13" borderId="12" xfId="2" applyFont="1" applyFill="1" applyBorder="1">
      <alignment horizontal="left" vertical="center" wrapText="1"/>
      <protection locked="0"/>
    </xf>
    <xf numFmtId="14" fontId="6" fillId="13" borderId="12" xfId="0" applyNumberFormat="1" applyFont="1" applyFill="1" applyBorder="1" applyAlignment="1" applyProtection="1">
      <alignment horizontal="left" vertical="center" wrapText="1"/>
      <protection locked="0"/>
    </xf>
    <xf numFmtId="0" fontId="6" fillId="13" borderId="35" xfId="2" applyFont="1" applyFill="1" applyBorder="1">
      <alignment horizontal="left" vertical="center" wrapText="1"/>
      <protection locked="0"/>
    </xf>
    <xf numFmtId="0" fontId="6" fillId="13" borderId="35" xfId="2" applyFont="1" applyFill="1" applyBorder="1" applyAlignment="1">
      <alignment horizontal="center" vertical="center" wrapText="1"/>
      <protection locked="0"/>
    </xf>
    <xf numFmtId="0" fontId="6" fillId="13" borderId="44" xfId="2" applyFont="1" applyFill="1" applyBorder="1">
      <alignment horizontal="left" vertical="center" wrapText="1"/>
      <protection locked="0"/>
    </xf>
    <xf numFmtId="0" fontId="5" fillId="14" borderId="36" xfId="8" applyFont="1" applyFill="1" applyBorder="1">
      <alignment vertical="center" wrapText="1"/>
    </xf>
    <xf numFmtId="0" fontId="6" fillId="13" borderId="37" xfId="2" applyFont="1" applyFill="1" applyBorder="1">
      <alignment horizontal="left" vertical="center" wrapText="1"/>
      <protection locked="0"/>
    </xf>
    <xf numFmtId="0" fontId="6" fillId="13" borderId="36" xfId="2" applyFont="1" applyFill="1" applyBorder="1">
      <alignment horizontal="left" vertical="center" wrapText="1"/>
      <protection locked="0"/>
    </xf>
    <xf numFmtId="0" fontId="6" fillId="13" borderId="36" xfId="2" applyFont="1" applyFill="1" applyBorder="1" applyAlignment="1">
      <alignment horizontal="center" vertical="center" wrapText="1"/>
      <protection locked="0"/>
    </xf>
    <xf numFmtId="0" fontId="6" fillId="13" borderId="58" xfId="2" applyFont="1" applyFill="1" applyBorder="1">
      <alignment horizontal="left" vertical="center" wrapText="1"/>
      <protection locked="0"/>
    </xf>
    <xf numFmtId="14" fontId="6" fillId="13" borderId="40" xfId="2" applyNumberFormat="1" applyFont="1" applyFill="1" applyBorder="1">
      <alignment horizontal="left" vertical="center" wrapText="1"/>
      <protection locked="0"/>
    </xf>
    <xf numFmtId="0" fontId="6" fillId="13" borderId="46" xfId="2" applyFont="1" applyFill="1" applyBorder="1">
      <alignment horizontal="left" vertical="center" wrapText="1"/>
      <protection locked="0"/>
    </xf>
    <xf numFmtId="14" fontId="6" fillId="13" borderId="47" xfId="2" applyNumberFormat="1" applyFont="1" applyFill="1" applyBorder="1">
      <alignment horizontal="left" vertical="center" wrapText="1"/>
      <protection locked="0"/>
    </xf>
    <xf numFmtId="0" fontId="5" fillId="14" borderId="31" xfId="7" applyFont="1" applyFill="1" applyBorder="1" applyProtection="1">
      <alignment vertical="center" wrapText="1"/>
    </xf>
    <xf numFmtId="0" fontId="5" fillId="14" borderId="33" xfId="7" applyFont="1" applyFill="1" applyBorder="1" applyProtection="1">
      <alignment vertical="center" wrapText="1"/>
    </xf>
    <xf numFmtId="0" fontId="6" fillId="14" borderId="32" xfId="2" applyFont="1" applyFill="1" applyBorder="1" applyProtection="1">
      <alignment horizontal="left" vertical="center" wrapText="1"/>
    </xf>
    <xf numFmtId="0" fontId="6" fillId="14" borderId="15" xfId="2" applyFont="1" applyFill="1" applyBorder="1" applyProtection="1">
      <alignment horizontal="left" vertical="center" wrapText="1"/>
    </xf>
    <xf numFmtId="0" fontId="6" fillId="14" borderId="16" xfId="2" applyFont="1" applyFill="1" applyBorder="1" applyProtection="1">
      <alignment horizontal="left" vertical="center" wrapText="1"/>
    </xf>
    <xf numFmtId="0" fontId="6" fillId="13" borderId="57" xfId="2" applyFont="1" applyFill="1" applyBorder="1">
      <alignment horizontal="left" vertical="center" wrapText="1"/>
      <protection locked="0"/>
    </xf>
    <xf numFmtId="0" fontId="6" fillId="13" borderId="59" xfId="2" applyFont="1" applyFill="1" applyBorder="1">
      <alignment horizontal="left" vertical="center" wrapText="1"/>
      <protection locked="0"/>
    </xf>
    <xf numFmtId="0" fontId="6" fillId="13" borderId="40" xfId="2" applyFont="1" applyFill="1" applyBorder="1">
      <alignment horizontal="left" vertical="center" wrapText="1"/>
      <protection locked="0"/>
    </xf>
    <xf numFmtId="0" fontId="6" fillId="13" borderId="52" xfId="2" applyFont="1" applyFill="1" applyBorder="1">
      <alignment horizontal="left" vertical="center" wrapText="1"/>
      <protection locked="0"/>
    </xf>
    <xf numFmtId="0" fontId="6" fillId="14" borderId="42" xfId="2" applyFont="1" applyFill="1" applyBorder="1" applyProtection="1">
      <alignment horizontal="left" vertical="center" wrapText="1"/>
    </xf>
    <xf numFmtId="0" fontId="6" fillId="13" borderId="38" xfId="2" applyFont="1" applyFill="1" applyBorder="1">
      <alignment horizontal="left" vertical="center" wrapText="1"/>
      <protection locked="0"/>
    </xf>
    <xf numFmtId="0" fontId="6" fillId="13" borderId="67" xfId="2" applyFont="1" applyFill="1" applyBorder="1">
      <alignment horizontal="left" vertical="center" wrapText="1"/>
      <protection locked="0"/>
    </xf>
    <xf numFmtId="6" fontId="6" fillId="13" borderId="44" xfId="2" applyNumberFormat="1" applyFont="1" applyFill="1" applyBorder="1">
      <alignment horizontal="left" vertical="center" wrapText="1"/>
      <protection locked="0"/>
    </xf>
    <xf numFmtId="6" fontId="6" fillId="13" borderId="58" xfId="2" applyNumberFormat="1" applyFont="1" applyFill="1" applyBorder="1">
      <alignment horizontal="left" vertical="center" wrapText="1"/>
      <protection locked="0"/>
    </xf>
    <xf numFmtId="0" fontId="6" fillId="13" borderId="12" xfId="0" applyFont="1" applyFill="1" applyBorder="1" applyAlignment="1" applyProtection="1">
      <alignment horizontal="center" vertical="center"/>
    </xf>
    <xf numFmtId="44" fontId="6" fillId="13" borderId="60" xfId="10" applyFont="1" applyFill="1" applyBorder="1" applyAlignment="1" applyProtection="1">
      <alignment vertical="center"/>
    </xf>
    <xf numFmtId="0" fontId="6" fillId="13" borderId="37" xfId="0" applyFont="1" applyFill="1" applyBorder="1" applyAlignment="1" applyProtection="1">
      <alignment horizontal="left" vertical="center" wrapText="1"/>
    </xf>
    <xf numFmtId="44" fontId="6" fillId="13" borderId="58" xfId="10" applyFont="1" applyFill="1" applyBorder="1" applyAlignment="1" applyProtection="1">
      <alignment horizontal="right" vertical="center" wrapText="1"/>
      <protection locked="0"/>
    </xf>
    <xf numFmtId="0" fontId="6" fillId="13" borderId="62" xfId="2" applyFont="1" applyFill="1" applyBorder="1">
      <alignment horizontal="left" vertical="center" wrapText="1"/>
      <protection locked="0"/>
    </xf>
    <xf numFmtId="0" fontId="6" fillId="13" borderId="63" xfId="2" applyFont="1" applyFill="1" applyBorder="1">
      <alignment horizontal="left" vertical="center" wrapText="1"/>
      <protection locked="0"/>
    </xf>
    <xf numFmtId="44" fontId="6" fillId="13" borderId="44" xfId="10" applyFont="1" applyFill="1" applyBorder="1" applyAlignment="1" applyProtection="1">
      <alignment horizontal="right" vertical="center" wrapText="1"/>
      <protection locked="0"/>
    </xf>
    <xf numFmtId="44" fontId="6" fillId="13" borderId="38" xfId="10" applyFont="1" applyFill="1" applyBorder="1" applyAlignment="1" applyProtection="1">
      <alignment horizontal="right" vertical="center" wrapText="1"/>
      <protection locked="0"/>
    </xf>
    <xf numFmtId="0" fontId="6" fillId="13" borderId="47" xfId="2" applyFont="1" applyFill="1" applyBorder="1">
      <alignment horizontal="left" vertical="center" wrapText="1"/>
      <protection locked="0"/>
    </xf>
    <xf numFmtId="44" fontId="6" fillId="13" borderId="44" xfId="10" applyFont="1" applyFill="1" applyBorder="1" applyAlignment="1" applyProtection="1">
      <alignment horizontal="left" vertical="center" wrapText="1"/>
      <protection locked="0"/>
    </xf>
    <xf numFmtId="44" fontId="6" fillId="13" borderId="38" xfId="10" applyFont="1" applyFill="1" applyBorder="1" applyAlignment="1" applyProtection="1">
      <alignment horizontal="left" vertical="center" wrapText="1"/>
      <protection locked="0"/>
    </xf>
    <xf numFmtId="0" fontId="6" fillId="13" borderId="63" xfId="2" applyFont="1" applyFill="1" applyBorder="1" applyAlignment="1">
      <alignment horizontal="center" vertical="center" wrapText="1"/>
      <protection locked="0"/>
    </xf>
    <xf numFmtId="44" fontId="6" fillId="13" borderId="67" xfId="10" applyFont="1" applyFill="1" applyBorder="1" applyAlignment="1" applyProtection="1">
      <alignment horizontal="left" vertical="center" wrapText="1"/>
      <protection locked="0"/>
    </xf>
    <xf numFmtId="0" fontId="6" fillId="13" borderId="38" xfId="2" applyFont="1" applyFill="1" applyBorder="1" applyAlignment="1">
      <alignment horizontal="center" vertical="center" wrapText="1"/>
      <protection locked="0"/>
    </xf>
    <xf numFmtId="0" fontId="6" fillId="13" borderId="12" xfId="0" applyFont="1" applyFill="1" applyBorder="1" applyAlignment="1" applyProtection="1">
      <alignment horizontal="left" vertical="center" wrapText="1"/>
    </xf>
    <xf numFmtId="14" fontId="6" fillId="13" borderId="12" xfId="0" applyNumberFormat="1" applyFont="1" applyFill="1" applyBorder="1" applyAlignment="1" applyProtection="1">
      <alignment horizontal="left" vertical="center" wrapText="1"/>
    </xf>
    <xf numFmtId="0" fontId="6" fillId="13" borderId="24" xfId="0" applyFont="1" applyFill="1" applyBorder="1" applyAlignment="1" applyProtection="1">
      <alignment vertical="center" wrapText="1"/>
    </xf>
    <xf numFmtId="0" fontId="6" fillId="13" borderId="25" xfId="0" applyFont="1" applyFill="1" applyBorder="1" applyAlignment="1" applyProtection="1">
      <alignment horizontal="left" vertical="center" wrapText="1"/>
    </xf>
    <xf numFmtId="0" fontId="6" fillId="13" borderId="24" xfId="0" applyFont="1" applyFill="1" applyBorder="1" applyAlignment="1" applyProtection="1">
      <alignment horizontal="left" vertical="center" wrapText="1"/>
    </xf>
    <xf numFmtId="0" fontId="6" fillId="13" borderId="35" xfId="0" applyFont="1" applyFill="1" applyBorder="1" applyAlignment="1" applyProtection="1">
      <alignment horizontal="center" vertical="center"/>
    </xf>
    <xf numFmtId="8" fontId="6" fillId="13" borderId="60" xfId="0" applyNumberFormat="1" applyFont="1" applyFill="1" applyBorder="1" applyAlignment="1" applyProtection="1">
      <alignment vertical="center"/>
    </xf>
    <xf numFmtId="0" fontId="5" fillId="14" borderId="36" xfId="8" applyFont="1" applyFill="1" applyBorder="1" applyProtection="1">
      <alignment vertical="center" wrapText="1"/>
    </xf>
    <xf numFmtId="0" fontId="6" fillId="13" borderId="36" xfId="0" applyFont="1" applyFill="1" applyBorder="1" applyAlignment="1" applyProtection="1">
      <alignment horizontal="center" vertical="center"/>
    </xf>
    <xf numFmtId="8" fontId="6" fillId="13" borderId="61" xfId="0" applyNumberFormat="1" applyFont="1" applyFill="1" applyBorder="1" applyAlignment="1" applyProtection="1">
      <alignment horizontal="right" vertical="center"/>
    </xf>
    <xf numFmtId="0" fontId="6" fillId="13" borderId="40" xfId="0" applyFont="1" applyFill="1" applyBorder="1" applyAlignment="1" applyProtection="1">
      <alignment horizontal="left" vertical="center" wrapText="1"/>
    </xf>
    <xf numFmtId="0" fontId="1" fillId="13" borderId="24" xfId="0" applyFont="1" applyFill="1" applyBorder="1" applyAlignment="1" applyProtection="1">
      <alignment vertical="center" wrapText="1"/>
    </xf>
    <xf numFmtId="0" fontId="6" fillId="13" borderId="41" xfId="0" applyFont="1" applyFill="1" applyBorder="1" applyAlignment="1" applyProtection="1">
      <alignment horizontal="left" vertical="center" wrapText="1"/>
    </xf>
    <xf numFmtId="0" fontId="6" fillId="13" borderId="41" xfId="0" applyFont="1" applyFill="1" applyBorder="1" applyAlignment="1" applyProtection="1">
      <alignment horizontal="center" vertical="center"/>
    </xf>
    <xf numFmtId="8" fontId="6" fillId="13" borderId="52" xfId="0" applyNumberFormat="1" applyFont="1" applyFill="1" applyBorder="1" applyAlignment="1" applyProtection="1">
      <alignment horizontal="right" vertical="center"/>
    </xf>
    <xf numFmtId="2" fontId="6" fillId="13" borderId="44" xfId="2" applyNumberFormat="1" applyFont="1" applyFill="1" applyBorder="1">
      <alignment horizontal="left" vertical="center" wrapText="1"/>
      <protection locked="0"/>
    </xf>
    <xf numFmtId="2" fontId="6" fillId="13" borderId="58" xfId="2" applyNumberFormat="1" applyFont="1" applyFill="1" applyBorder="1">
      <alignment horizontal="left" vertical="center" wrapText="1"/>
      <protection locked="0"/>
    </xf>
    <xf numFmtId="0" fontId="6" fillId="4" borderId="40" xfId="2" applyFill="1" applyBorder="1">
      <alignment horizontal="left" vertical="center" wrapText="1"/>
      <protection locked="0"/>
    </xf>
    <xf numFmtId="0" fontId="6" fillId="3" borderId="12" xfId="2" applyAlignment="1">
      <alignment horizontal="left" vertical="center" wrapText="1" readingOrder="1"/>
      <protection locked="0"/>
    </xf>
    <xf numFmtId="164" fontId="6" fillId="6" borderId="16" xfId="2" applyNumberFormat="1" applyFill="1" applyBorder="1" applyAlignment="1" applyProtection="1">
      <alignment horizontal="left" vertical="center" wrapText="1"/>
    </xf>
    <xf numFmtId="164" fontId="6" fillId="3" borderId="44" xfId="2" applyNumberFormat="1" applyFill="1" applyBorder="1" applyAlignment="1">
      <alignment horizontal="left" vertical="center" wrapText="1"/>
      <protection locked="0"/>
    </xf>
    <xf numFmtId="164" fontId="6" fillId="3" borderId="58" xfId="2" applyNumberFormat="1" applyFill="1" applyBorder="1" applyAlignment="1">
      <alignment horizontal="left" vertical="center" wrapText="1"/>
      <protection locked="0"/>
    </xf>
    <xf numFmtId="164" fontId="6" fillId="3" borderId="57" xfId="2" applyNumberFormat="1" applyFill="1" applyBorder="1" applyAlignment="1">
      <alignment horizontal="left" vertical="center" wrapText="1"/>
      <protection locked="0"/>
    </xf>
    <xf numFmtId="164" fontId="6" fillId="3" borderId="59" xfId="2" applyNumberFormat="1" applyFill="1" applyBorder="1" applyAlignment="1">
      <alignment horizontal="left" vertical="center" wrapText="1"/>
      <protection locked="0"/>
    </xf>
    <xf numFmtId="0" fontId="6" fillId="3" borderId="62" xfId="2" applyFill="1" applyBorder="1" applyAlignment="1">
      <alignment horizontal="left" vertical="center" wrapText="1"/>
      <protection locked="0"/>
    </xf>
    <xf numFmtId="164" fontId="6" fillId="3" borderId="52" xfId="2" applyNumberFormat="1" applyFill="1" applyBorder="1" applyAlignment="1">
      <alignment horizontal="left" vertical="center" wrapText="1"/>
      <protection locked="0"/>
    </xf>
    <xf numFmtId="164" fontId="6" fillId="6" borderId="42" xfId="2" applyNumberFormat="1" applyFill="1" applyBorder="1" applyAlignment="1" applyProtection="1">
      <alignment horizontal="left" vertical="center" wrapText="1"/>
    </xf>
    <xf numFmtId="164" fontId="6" fillId="3" borderId="38" xfId="2" applyNumberFormat="1" applyFill="1" applyBorder="1" applyAlignment="1">
      <alignment horizontal="left" vertical="center" wrapText="1"/>
      <protection locked="0"/>
    </xf>
    <xf numFmtId="0" fontId="6" fillId="3" borderId="47" xfId="2" applyFill="1" applyBorder="1" applyAlignment="1">
      <alignment horizontal="left" vertical="center" wrapText="1"/>
      <protection locked="0"/>
    </xf>
    <xf numFmtId="164" fontId="6" fillId="3" borderId="67" xfId="2" applyNumberFormat="1" applyFill="1" applyBorder="1" applyAlignment="1">
      <alignment horizontal="left" vertical="center" wrapText="1"/>
      <protection locked="0"/>
    </xf>
    <xf numFmtId="0" fontId="10" fillId="3" borderId="36" xfId="2" applyFont="1" applyFill="1" applyBorder="1" applyAlignment="1">
      <alignment horizontal="center" vertical="center" wrapText="1"/>
      <protection locked="0"/>
    </xf>
    <xf numFmtId="0" fontId="10" fillId="3" borderId="63" xfId="2" applyFont="1" applyFill="1" applyBorder="1" applyAlignment="1">
      <alignment horizontal="center" vertical="center" wrapText="1"/>
      <protection locked="0"/>
    </xf>
    <xf numFmtId="0" fontId="32" fillId="3" borderId="12" xfId="2" applyFont="1">
      <alignment horizontal="left" vertical="center" wrapText="1"/>
      <protection locked="0"/>
    </xf>
    <xf numFmtId="0" fontId="1" fillId="3" borderId="36" xfId="2" applyFont="1" applyFill="1" applyBorder="1" applyAlignment="1">
      <alignment horizontal="center" vertical="center" wrapText="1"/>
      <protection locked="0"/>
    </xf>
    <xf numFmtId="6" fontId="6" fillId="3" borderId="82" xfId="2" applyNumberFormat="1" applyFill="1" applyBorder="1">
      <alignment horizontal="left" vertical="center" wrapText="1"/>
      <protection locked="0"/>
    </xf>
    <xf numFmtId="0" fontId="6" fillId="3" borderId="35"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44" xfId="2" applyFill="1" applyBorder="1" applyProtection="1">
      <alignment horizontal="left" vertical="center" wrapText="1"/>
      <protection locked="0"/>
    </xf>
    <xf numFmtId="0" fontId="6" fillId="3" borderId="37" xfId="0" applyFont="1" applyFill="1" applyBorder="1" applyAlignment="1" applyProtection="1">
      <alignment horizontal="left" vertical="center" wrapText="1"/>
      <protection locked="0"/>
    </xf>
    <xf numFmtId="0" fontId="6" fillId="3" borderId="36" xfId="0" applyFont="1" applyFill="1" applyBorder="1" applyAlignment="1" applyProtection="1">
      <alignment horizontal="center" vertical="center"/>
      <protection locked="0"/>
    </xf>
    <xf numFmtId="0" fontId="6" fillId="3" borderId="41" xfId="0" applyFont="1" applyFill="1" applyBorder="1" applyAlignment="1" applyProtection="1">
      <alignment horizontal="left" vertical="center" wrapText="1"/>
      <protection locked="0"/>
    </xf>
    <xf numFmtId="0" fontId="6" fillId="3" borderId="41" xfId="0" applyFont="1" applyFill="1" applyBorder="1" applyAlignment="1" applyProtection="1">
      <alignment horizontal="center" vertical="center"/>
      <protection locked="0"/>
    </xf>
    <xf numFmtId="0" fontId="6" fillId="3" borderId="77" xfId="2" applyFill="1" applyBorder="1" applyProtection="1">
      <alignment horizontal="left" vertical="center" wrapText="1"/>
      <protection locked="0"/>
    </xf>
    <xf numFmtId="14" fontId="6" fillId="3" borderId="77" xfId="2" applyNumberFormat="1" applyFill="1" applyBorder="1" applyProtection="1">
      <alignment horizontal="left" vertical="center" wrapText="1"/>
      <protection locked="0"/>
    </xf>
    <xf numFmtId="0" fontId="6" fillId="3" borderId="78" xfId="2" applyFill="1" applyBorder="1" applyProtection="1">
      <alignment horizontal="left" vertical="center" wrapText="1"/>
      <protection locked="0"/>
    </xf>
    <xf numFmtId="0" fontId="6" fillId="3" borderId="79" xfId="2" applyFill="1" applyBorder="1" applyProtection="1">
      <alignment horizontal="left" vertical="center" wrapText="1"/>
      <protection locked="0"/>
    </xf>
    <xf numFmtId="14" fontId="6" fillId="3" borderId="35" xfId="2" applyNumberFormat="1" applyFill="1" applyBorder="1">
      <alignment horizontal="left" vertical="center" wrapText="1"/>
      <protection locked="0"/>
    </xf>
    <xf numFmtId="0" fontId="6" fillId="3" borderId="75" xfId="2" applyFill="1" applyBorder="1" applyProtection="1">
      <alignment horizontal="left" vertical="center" wrapText="1"/>
      <protection locked="0"/>
    </xf>
    <xf numFmtId="6" fontId="6" fillId="3" borderId="76" xfId="2" applyNumberFormat="1" applyFill="1" applyBorder="1" applyProtection="1">
      <alignment horizontal="left" vertical="center" wrapText="1"/>
      <protection locked="0"/>
    </xf>
    <xf numFmtId="15" fontId="6" fillId="3" borderId="40" xfId="2" applyNumberFormat="1" applyFill="1" applyBorder="1" applyProtection="1">
      <alignment horizontal="left" vertical="center" wrapText="1"/>
      <protection locked="0"/>
    </xf>
    <xf numFmtId="44" fontId="6" fillId="6" borderId="16" xfId="10" applyNumberFormat="1" applyFont="1" applyFill="1" applyBorder="1" applyAlignment="1" applyProtection="1">
      <alignment horizontal="right" vertical="center" wrapText="1"/>
    </xf>
    <xf numFmtId="44" fontId="6" fillId="3" borderId="44" xfId="10" applyNumberFormat="1" applyFont="1" applyFill="1" applyBorder="1" applyAlignment="1" applyProtection="1">
      <alignment horizontal="right" vertical="center" wrapText="1"/>
      <protection locked="0"/>
    </xf>
    <xf numFmtId="44" fontId="6" fillId="3" borderId="58" xfId="10" applyNumberFormat="1" applyFont="1" applyFill="1" applyBorder="1" applyAlignment="1" applyProtection="1">
      <alignment horizontal="right" vertical="center" wrapText="1"/>
      <protection locked="0"/>
    </xf>
    <xf numFmtId="44" fontId="6" fillId="6" borderId="42" xfId="10" applyNumberFormat="1" applyFont="1" applyFill="1" applyBorder="1" applyAlignment="1" applyProtection="1">
      <alignment horizontal="right" vertical="center" wrapText="1"/>
    </xf>
    <xf numFmtId="44" fontId="6" fillId="3" borderId="38" xfId="10" applyNumberFormat="1" applyFont="1" applyFill="1" applyBorder="1" applyAlignment="1" applyProtection="1">
      <alignment horizontal="right" vertical="center" wrapText="1"/>
      <protection locked="0"/>
    </xf>
    <xf numFmtId="16" fontId="6" fillId="3" borderId="47" xfId="2" applyNumberFormat="1" applyFill="1" applyBorder="1">
      <alignment horizontal="left" vertical="center" wrapText="1"/>
      <protection locked="0"/>
    </xf>
    <xf numFmtId="44" fontId="6" fillId="3" borderId="67" xfId="10" applyNumberFormat="1" applyFont="1" applyFill="1" applyBorder="1" applyAlignment="1" applyProtection="1">
      <alignment horizontal="right" vertical="center" wrapText="1"/>
      <protection locked="0"/>
    </xf>
    <xf numFmtId="14" fontId="6" fillId="3" borderId="27" xfId="2" applyNumberFormat="1" applyFill="1" applyBorder="1" applyAlignment="1">
      <alignment horizontal="left" vertical="center" wrapText="1"/>
      <protection locked="0"/>
    </xf>
    <xf numFmtId="164" fontId="6" fillId="3" borderId="98" xfId="2" applyNumberFormat="1" applyFill="1" applyBorder="1" applyAlignment="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64" xfId="0" applyBorder="1"/>
    <xf numFmtId="0" fontId="0" fillId="0" borderId="10" xfId="0" applyBorder="1"/>
    <xf numFmtId="0" fontId="0" fillId="0" borderId="65" xfId="0" applyBorder="1"/>
    <xf numFmtId="0" fontId="0" fillId="0" borderId="8" xfId="0" applyBorder="1"/>
    <xf numFmtId="0" fontId="0" fillId="0" borderId="11" xfId="0" applyBorder="1"/>
    <xf numFmtId="0" fontId="0" fillId="0" borderId="11" xfId="0" applyBorder="1" applyAlignment="1">
      <alignment wrapText="1"/>
    </xf>
    <xf numFmtId="0" fontId="6" fillId="3" borderId="40" xfId="2" applyFill="1" applyBorder="1">
      <alignment horizontal="left" vertical="center" wrapText="1"/>
      <protection locked="0"/>
    </xf>
    <xf numFmtId="0" fontId="6" fillId="3" borderId="27" xfId="2" applyFill="1" applyBorder="1">
      <alignment horizontal="left" vertical="center" wrapText="1"/>
      <protection locked="0"/>
    </xf>
    <xf numFmtId="0" fontId="6" fillId="3" borderId="62" xfId="2" applyFill="1" applyBorder="1">
      <alignment horizontal="left" vertical="center" wrapText="1"/>
      <protection locked="0"/>
    </xf>
    <xf numFmtId="0" fontId="6" fillId="3" borderId="63" xfId="2" applyFill="1" applyBorder="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64" xfId="0" applyBorder="1"/>
    <xf numFmtId="0" fontId="0" fillId="0" borderId="10" xfId="0" applyBorder="1"/>
    <xf numFmtId="0" fontId="0" fillId="0" borderId="65" xfId="0" applyBorder="1"/>
    <xf numFmtId="0" fontId="0" fillId="0" borderId="8" xfId="0" applyBorder="1"/>
    <xf numFmtId="0" fontId="0" fillId="0" borderId="11" xfId="0" applyBorder="1"/>
    <xf numFmtId="0" fontId="0" fillId="0" borderId="11" xfId="0" applyBorder="1" applyAlignment="1">
      <alignment wrapText="1"/>
    </xf>
    <xf numFmtId="0" fontId="1" fillId="0" borderId="6" xfId="0" applyFont="1" applyBorder="1"/>
    <xf numFmtId="0" fontId="0" fillId="0" borderId="10" xfId="0" applyBorder="1" applyProtection="1">
      <protection locked="0" hidden="1"/>
    </xf>
    <xf numFmtId="0" fontId="0" fillId="0" borderId="64" xfId="0" applyBorder="1"/>
    <xf numFmtId="0" fontId="0" fillId="0" borderId="10" xfId="0" applyBorder="1"/>
    <xf numFmtId="0" fontId="0" fillId="0" borderId="65" xfId="0" applyBorder="1"/>
    <xf numFmtId="0" fontId="0" fillId="0" borderId="8" xfId="0" applyBorder="1"/>
    <xf numFmtId="0" fontId="0" fillId="0" borderId="11" xfId="0" applyBorder="1"/>
    <xf numFmtId="0" fontId="0" fillId="0" borderId="11" xfId="0" applyBorder="1" applyAlignment="1">
      <alignment wrapText="1"/>
    </xf>
    <xf numFmtId="0" fontId="6" fillId="3" borderId="40" xfId="2" applyFill="1" applyBorder="1" applyAlignment="1">
      <alignment horizontal="left" vertical="center" wrapText="1"/>
      <protection locked="0"/>
    </xf>
    <xf numFmtId="0" fontId="6" fillId="3" borderId="27" xfId="2" applyFill="1" applyBorder="1" applyAlignment="1">
      <alignment horizontal="left" vertical="center" wrapText="1"/>
      <protection locked="0"/>
    </xf>
    <xf numFmtId="0" fontId="5" fillId="6" borderId="31" xfId="7" applyBorder="1" applyProtection="1">
      <alignment vertical="center" wrapText="1"/>
    </xf>
    <xf numFmtId="0" fontId="0" fillId="0" borderId="0" xfId="0"/>
    <xf numFmtId="0" fontId="5" fillId="6" borderId="36" xfId="8">
      <alignment vertical="center" wrapText="1"/>
    </xf>
    <xf numFmtId="0" fontId="6" fillId="3" borderId="12" xfId="2" applyFill="1" applyBorder="1">
      <alignment horizontal="left" vertical="center" wrapText="1"/>
      <protection locked="0"/>
    </xf>
    <xf numFmtId="0" fontId="5" fillId="6" borderId="33" xfId="7" applyBorder="1" applyProtection="1">
      <alignment vertical="center" wrapText="1"/>
    </xf>
    <xf numFmtId="0" fontId="6" fillId="3" borderId="24" xfId="0" applyFont="1" applyFill="1" applyBorder="1" applyAlignment="1" applyProtection="1">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14" fontId="6" fillId="3" borderId="40" xfId="0" applyNumberFormat="1" applyFont="1" applyFill="1" applyBorder="1" applyAlignment="1" applyProtection="1">
      <alignment horizontal="left" vertical="center" wrapText="1"/>
    </xf>
    <xf numFmtId="0" fontId="6" fillId="3" borderId="27" xfId="0" applyFont="1" applyFill="1" applyBorder="1" applyAlignment="1" applyProtection="1">
      <alignment horizontal="left" vertical="center" wrapText="1"/>
    </xf>
    <xf numFmtId="0" fontId="6" fillId="3" borderId="63" xfId="0" applyFont="1" applyFill="1" applyBorder="1" applyAlignment="1" applyProtection="1">
      <alignment horizontal="left" vertical="center" wrapText="1"/>
    </xf>
    <xf numFmtId="0" fontId="6" fillId="3" borderId="63" xfId="0" applyFont="1" applyFill="1" applyBorder="1" applyAlignment="1" applyProtection="1">
      <alignment horizontal="center" vertical="center"/>
    </xf>
    <xf numFmtId="0" fontId="6" fillId="4" borderId="12" xfId="2" applyFill="1" applyAlignment="1">
      <alignment horizontal="left" vertical="center" wrapText="1"/>
      <protection locked="0"/>
    </xf>
    <xf numFmtId="14" fontId="6" fillId="4" borderId="12" xfId="0" applyNumberFormat="1" applyFont="1" applyFill="1" applyBorder="1" applyAlignment="1" applyProtection="1">
      <alignment horizontal="left" vertical="center" wrapText="1"/>
      <protection locked="0"/>
    </xf>
    <xf numFmtId="0" fontId="6" fillId="4" borderId="35" xfId="2" applyFill="1" applyBorder="1" applyAlignment="1">
      <alignment horizontal="left" vertical="center" wrapText="1"/>
      <protection locked="0"/>
    </xf>
    <xf numFmtId="0" fontId="6" fillId="4" borderId="35" xfId="2" applyFill="1" applyBorder="1" applyAlignment="1">
      <alignment horizontal="center" vertical="center" wrapText="1"/>
      <protection locked="0"/>
    </xf>
    <xf numFmtId="164" fontId="6" fillId="4" borderId="44" xfId="2" applyNumberFormat="1" applyFill="1" applyBorder="1" applyAlignment="1">
      <alignment horizontal="left" vertical="center" wrapText="1"/>
      <protection locked="0"/>
    </xf>
    <xf numFmtId="0" fontId="6" fillId="4" borderId="37" xfId="2" applyFill="1" applyBorder="1" applyAlignment="1">
      <alignment horizontal="left" vertical="center" wrapText="1"/>
      <protection locked="0"/>
    </xf>
    <xf numFmtId="0" fontId="6" fillId="4" borderId="36" xfId="2" applyFill="1" applyBorder="1" applyAlignment="1">
      <alignment horizontal="center" vertical="center" wrapText="1"/>
      <protection locked="0"/>
    </xf>
    <xf numFmtId="164" fontId="6" fillId="4" borderId="38" xfId="2" applyNumberFormat="1" applyFill="1" applyBorder="1" applyAlignment="1">
      <alignment horizontal="left" vertical="center" wrapText="1"/>
      <protection locked="0"/>
    </xf>
    <xf numFmtId="0" fontId="6" fillId="4" borderId="12" xfId="2" applyFill="1" applyBorder="1" applyAlignment="1">
      <alignment horizontal="left" vertical="center" wrapText="1"/>
      <protection locked="0"/>
    </xf>
    <xf numFmtId="14" fontId="6" fillId="4" borderId="40" xfId="2" applyNumberFormat="1" applyFill="1" applyBorder="1" applyAlignment="1">
      <alignment horizontal="left" vertical="center" wrapText="1"/>
      <protection locked="0"/>
    </xf>
    <xf numFmtId="0" fontId="6" fillId="4" borderId="46" xfId="2" applyFill="1" applyBorder="1" applyAlignment="1">
      <alignment horizontal="left" vertical="center" wrapText="1"/>
      <protection locked="0"/>
    </xf>
    <xf numFmtId="0" fontId="6" fillId="4" borderId="47" xfId="2" applyFill="1" applyBorder="1" applyAlignment="1">
      <alignment horizontal="left" vertical="center" wrapText="1"/>
      <protection locked="0"/>
    </xf>
    <xf numFmtId="0" fontId="5" fillId="12" borderId="31" xfId="7" applyFill="1" applyBorder="1" applyAlignment="1" applyProtection="1">
      <alignment vertical="center" wrapText="1"/>
    </xf>
    <xf numFmtId="0" fontId="5" fillId="12" borderId="33" xfId="7" applyFill="1" applyBorder="1" applyAlignment="1" applyProtection="1">
      <alignment vertical="center" wrapText="1"/>
    </xf>
    <xf numFmtId="0" fontId="6" fillId="12" borderId="32" xfId="2" applyFill="1" applyBorder="1" applyAlignment="1" applyProtection="1">
      <alignment horizontal="left" vertical="center" wrapText="1"/>
    </xf>
    <xf numFmtId="0" fontId="6" fillId="12" borderId="15" xfId="2" applyFill="1" applyBorder="1" applyAlignment="1" applyProtection="1">
      <alignment horizontal="center" vertical="center" wrapText="1"/>
    </xf>
    <xf numFmtId="164" fontId="6" fillId="12" borderId="42" xfId="2" applyNumberFormat="1" applyFill="1" applyBorder="1" applyAlignment="1" applyProtection="1">
      <alignment horizontal="left" vertical="center" wrapText="1"/>
    </xf>
    <xf numFmtId="0" fontId="5" fillId="12" borderId="36" xfId="8" applyFill="1" applyAlignment="1">
      <alignment vertical="center" wrapText="1"/>
    </xf>
    <xf numFmtId="0" fontId="6" fillId="3" borderId="40" xfId="2" applyFill="1" applyBorder="1" applyProtection="1">
      <alignment horizontal="left" vertical="center" wrapText="1"/>
      <protection locked="0"/>
    </xf>
    <xf numFmtId="0" fontId="6" fillId="3" borderId="26" xfId="2" applyFill="1" applyBorder="1" applyProtection="1">
      <alignment horizontal="left" vertical="center" wrapText="1"/>
      <protection locked="0"/>
    </xf>
    <xf numFmtId="0" fontId="6" fillId="3" borderId="27" xfId="2" applyFill="1" applyBorder="1" applyProtection="1">
      <alignment horizontal="left" vertical="center" wrapText="1"/>
      <protection locked="0"/>
    </xf>
    <xf numFmtId="0" fontId="6" fillId="3" borderId="63" xfId="0" applyFont="1" applyFill="1" applyBorder="1" applyAlignment="1" applyProtection="1">
      <alignment horizontal="left" vertical="center" wrapText="1"/>
      <protection locked="0"/>
    </xf>
    <xf numFmtId="0" fontId="6" fillId="3" borderId="63" xfId="0" applyFont="1" applyFill="1" applyBorder="1" applyAlignment="1" applyProtection="1">
      <alignment horizontal="center" vertical="center"/>
      <protection locked="0"/>
    </xf>
    <xf numFmtId="0" fontId="1" fillId="9" borderId="0" xfId="0" applyFont="1" applyFill="1" applyAlignment="1">
      <alignment horizontal="left" vertical="top" wrapText="1"/>
    </xf>
    <xf numFmtId="0" fontId="0" fillId="9" borderId="0" xfId="0" applyFill="1" applyAlignment="1">
      <alignment horizontal="left" vertical="top" wrapText="1"/>
    </xf>
    <xf numFmtId="0" fontId="14" fillId="9" borderId="37" xfId="0" applyFont="1" applyFill="1" applyBorder="1" applyAlignment="1">
      <alignment horizontal="center" vertical="center"/>
    </xf>
    <xf numFmtId="0" fontId="14" fillId="9" borderId="71" xfId="0" applyFont="1" applyFill="1" applyBorder="1" applyAlignment="1">
      <alignment horizontal="center" vertical="center"/>
    </xf>
    <xf numFmtId="0" fontId="14" fillId="9" borderId="70"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0" xfId="0" applyFont="1" applyFill="1" applyBorder="1" applyAlignment="1">
      <alignment horizontal="center" vertical="center"/>
    </xf>
    <xf numFmtId="0" fontId="14" fillId="9" borderId="25" xfId="0" applyFont="1" applyFill="1" applyBorder="1" applyAlignment="1">
      <alignment horizontal="center" vertical="center"/>
    </xf>
    <xf numFmtId="0" fontId="14" fillId="9" borderId="46" xfId="0" applyFont="1" applyFill="1" applyBorder="1" applyAlignment="1">
      <alignment horizontal="center" vertical="center"/>
    </xf>
    <xf numFmtId="0" fontId="14" fillId="9" borderId="72" xfId="0" applyFont="1" applyFill="1" applyBorder="1" applyAlignment="1">
      <alignment horizontal="center" vertical="center"/>
    </xf>
    <xf numFmtId="0" fontId="14" fillId="9" borderId="47" xfId="0" applyFont="1" applyFill="1" applyBorder="1" applyAlignment="1">
      <alignment horizontal="center" vertical="center"/>
    </xf>
    <xf numFmtId="0" fontId="1" fillId="9" borderId="71" xfId="0" applyFont="1" applyFill="1" applyBorder="1" applyAlignment="1">
      <alignment vertical="top" wrapText="1"/>
    </xf>
    <xf numFmtId="0" fontId="2" fillId="9" borderId="0" xfId="0" applyFont="1" applyFill="1" applyAlignment="1">
      <alignment horizontal="left" vertical="top" wrapText="1"/>
    </xf>
    <xf numFmtId="0" fontId="12" fillId="9" borderId="0" xfId="0" applyFont="1" applyFill="1" applyAlignment="1">
      <alignment horizontal="left" vertical="top"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23" fillId="9" borderId="0" xfId="0" applyFont="1" applyFill="1" applyAlignment="1">
      <alignment horizontal="left" vertical="top" wrapText="1"/>
    </xf>
    <xf numFmtId="0" fontId="1" fillId="9" borderId="0" xfId="0" applyFont="1" applyFill="1" applyAlignment="1">
      <alignment horizontal="left" wrapText="1"/>
    </xf>
    <xf numFmtId="0" fontId="13" fillId="9" borderId="0" xfId="0" applyFont="1" applyFill="1" applyAlignment="1">
      <alignment horizontal="left" vertical="top" wrapText="1"/>
    </xf>
    <xf numFmtId="0" fontId="1" fillId="6" borderId="30" xfId="6" applyFill="1" applyBorder="1">
      <alignment horizontal="center" vertical="center"/>
    </xf>
    <xf numFmtId="0" fontId="1" fillId="6" borderId="43" xfId="6" applyFill="1" applyBorder="1">
      <alignment horizontal="center" vertical="center"/>
    </xf>
    <xf numFmtId="0" fontId="1" fillId="6" borderId="45" xfId="6" applyFill="1" applyBorder="1">
      <alignment horizontal="center" vertical="center"/>
    </xf>
    <xf numFmtId="0" fontId="1" fillId="6" borderId="34" xfId="6" applyFill="1" applyBorder="1">
      <alignment horizontal="center" vertical="center"/>
    </xf>
    <xf numFmtId="0" fontId="1" fillId="6" borderId="39" xfId="6" applyFill="1" applyBorder="1">
      <alignment horizontal="center" vertical="center"/>
    </xf>
    <xf numFmtId="0" fontId="5" fillId="6" borderId="31" xfId="7" applyBorder="1" applyProtection="1">
      <alignment vertical="center" wrapText="1"/>
    </xf>
    <xf numFmtId="0" fontId="6" fillId="3" borderId="24" xfId="0" applyFont="1" applyFill="1" applyBorder="1" applyAlignment="1" applyProtection="1">
      <alignment horizontal="center" vertical="center" wrapText="1"/>
      <protection locked="0"/>
    </xf>
    <xf numFmtId="0" fontId="0" fillId="0" borderId="0" xfId="0"/>
    <xf numFmtId="0" fontId="0" fillId="0" borderId="25" xfId="0" applyBorder="1"/>
    <xf numFmtId="0" fontId="5" fillId="6" borderId="36" xfId="8">
      <alignment vertical="center" wrapText="1"/>
    </xf>
    <xf numFmtId="0" fontId="5" fillId="6" borderId="32" xfId="7" applyBorder="1" applyProtection="1">
      <alignment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6" fillId="6" borderId="24"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5" fillId="6" borderId="91" xfId="7" applyBorder="1" applyProtection="1">
      <alignment vertical="center" wrapText="1"/>
    </xf>
    <xf numFmtId="0" fontId="5" fillId="6" borderId="48" xfId="7" applyBorder="1" applyProtection="1">
      <alignment vertical="center" wrapText="1"/>
    </xf>
    <xf numFmtId="0" fontId="0" fillId="0" borderId="0" xfId="0" applyBorder="1"/>
    <xf numFmtId="0" fontId="5" fillId="6" borderId="36" xfId="8" applyBorder="1">
      <alignment vertical="center" wrapText="1"/>
    </xf>
    <xf numFmtId="0" fontId="6" fillId="6" borderId="2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5" fillId="6" borderId="12" xfId="7" applyBorder="1" applyProtection="1">
      <alignment vertical="center" wrapText="1"/>
    </xf>
    <xf numFmtId="0" fontId="5" fillId="6" borderId="24" xfId="7" applyBorder="1" applyProtection="1">
      <alignment vertical="center" wrapText="1"/>
    </xf>
    <xf numFmtId="0" fontId="6" fillId="0" borderId="24" xfId="0" applyFont="1" applyFill="1" applyBorder="1" applyAlignment="1" applyProtection="1">
      <alignment horizontal="center" vertical="center" wrapText="1"/>
      <protection locked="0"/>
    </xf>
    <xf numFmtId="0" fontId="0" fillId="0" borderId="0" xfId="0" applyFill="1"/>
    <xf numFmtId="0" fontId="0" fillId="0" borderId="25" xfId="0" applyFill="1" applyBorder="1"/>
    <xf numFmtId="0" fontId="5" fillId="6" borderId="24" xfId="8" applyFill="1" applyBorder="1" applyAlignment="1">
      <alignment horizontal="center"/>
    </xf>
    <xf numFmtId="0" fontId="5" fillId="6" borderId="0" xfId="8" applyFill="1" applyBorder="1" applyAlignment="1">
      <alignment horizontal="center"/>
    </xf>
    <xf numFmtId="0" fontId="5" fillId="6" borderId="25" xfId="8" applyFill="1"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0" borderId="78" xfId="0" applyBorder="1" applyAlignment="1">
      <alignment horizontal="center"/>
    </xf>
    <xf numFmtId="0" fontId="0" fillId="0" borderId="66" xfId="0" applyBorder="1" applyAlignment="1">
      <alignment horizontal="center"/>
    </xf>
    <xf numFmtId="0" fontId="0" fillId="0" borderId="79" xfId="0" applyBorder="1" applyAlignment="1">
      <alignment horizontal="center"/>
    </xf>
    <xf numFmtId="0" fontId="6" fillId="0" borderId="41" xfId="0" applyFont="1" applyFill="1" applyBorder="1" applyAlignment="1" applyProtection="1">
      <alignment horizontal="center" vertical="center" wrapText="1"/>
      <protection locked="0"/>
    </xf>
    <xf numFmtId="0" fontId="0" fillId="0" borderId="41" xfId="0" applyFill="1" applyBorder="1"/>
    <xf numFmtId="0" fontId="6" fillId="3" borderId="24"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25" xfId="0" applyFont="1" applyFill="1" applyBorder="1" applyAlignment="1" applyProtection="1">
      <alignment horizontal="left" vertical="center" wrapText="1"/>
      <protection locked="0"/>
    </xf>
    <xf numFmtId="0" fontId="0" fillId="0" borderId="0" xfId="0" applyFill="1" applyBorder="1"/>
    <xf numFmtId="0" fontId="6" fillId="6" borderId="17" xfId="0" applyFont="1" applyFill="1" applyBorder="1" applyAlignment="1" applyProtection="1">
      <alignment horizontal="center" vertical="center" wrapText="1"/>
    </xf>
    <xf numFmtId="0" fontId="5" fillId="6" borderId="83" xfId="7" applyBorder="1" applyProtection="1">
      <alignment vertical="center" wrapText="1"/>
    </xf>
    <xf numFmtId="0" fontId="5" fillId="6" borderId="84" xfId="7" applyBorder="1" applyProtection="1">
      <alignment vertical="center" wrapText="1"/>
    </xf>
    <xf numFmtId="0" fontId="5" fillId="6" borderId="32" xfId="7" applyBorder="1" applyAlignment="1" applyProtection="1">
      <alignment horizontal="center" vertical="center" wrapText="1"/>
    </xf>
    <xf numFmtId="0" fontId="5" fillId="6" borderId="15" xfId="7" applyBorder="1" applyAlignment="1" applyProtection="1">
      <alignment horizontal="center" vertical="center" wrapText="1"/>
    </xf>
    <xf numFmtId="0" fontId="5" fillId="6" borderId="33" xfId="7" applyBorder="1" applyAlignment="1" applyProtection="1">
      <alignment horizontal="center" vertical="center" wrapText="1"/>
    </xf>
    <xf numFmtId="0" fontId="6" fillId="0" borderId="0"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0" fillId="0" borderId="0" xfId="0" applyBorder="1" applyAlignment="1"/>
    <xf numFmtId="0" fontId="0" fillId="0" borderId="25" xfId="0" applyBorder="1" applyAlignment="1"/>
    <xf numFmtId="0" fontId="0" fillId="0" borderId="10" xfId="0" applyBorder="1" applyAlignment="1"/>
    <xf numFmtId="0" fontId="0" fillId="0" borderId="64" xfId="0" applyBorder="1" applyAlignment="1"/>
    <xf numFmtId="0" fontId="0" fillId="0" borderId="66" xfId="0" applyBorder="1" applyAlignment="1"/>
    <xf numFmtId="0" fontId="0" fillId="0" borderId="79" xfId="0" applyBorder="1" applyAlignment="1"/>
    <xf numFmtId="0" fontId="5" fillId="6" borderId="89" xfId="8" applyBorder="1">
      <alignment vertical="center" wrapText="1"/>
    </xf>
    <xf numFmtId="0" fontId="5" fillId="6" borderId="90" xfId="8" applyBorder="1">
      <alignment vertical="center" wrapText="1"/>
    </xf>
    <xf numFmtId="0" fontId="5" fillId="6" borderId="33" xfId="7" applyBorder="1" applyProtection="1">
      <alignment vertical="center" wrapText="1"/>
    </xf>
    <xf numFmtId="0" fontId="5" fillId="6" borderId="37" xfId="8" applyBorder="1">
      <alignment vertical="center" wrapText="1"/>
    </xf>
    <xf numFmtId="0" fontId="5" fillId="6" borderId="70" xfId="8" applyBorder="1">
      <alignment vertical="center" wrapText="1"/>
    </xf>
    <xf numFmtId="0" fontId="5" fillId="6" borderId="26" xfId="8" applyFill="1" applyBorder="1" applyAlignment="1">
      <alignment horizontal="center" wrapText="1"/>
    </xf>
    <xf numFmtId="0" fontId="5" fillId="6" borderId="1" xfId="8" applyFill="1" applyBorder="1" applyAlignment="1">
      <alignment horizontal="center" wrapText="1"/>
    </xf>
    <xf numFmtId="0" fontId="5" fillId="6" borderId="27" xfId="8" applyFill="1" applyBorder="1" applyAlignment="1">
      <alignment horizontal="center" wrapText="1"/>
    </xf>
    <xf numFmtId="0" fontId="6" fillId="3" borderId="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10" xfId="8" applyFill="1" applyBorder="1" applyAlignment="1">
      <alignment horizontal="center" wrapText="1"/>
    </xf>
    <xf numFmtId="0" fontId="5" fillId="6" borderId="86" xfId="8" applyBorder="1">
      <alignment vertical="center" wrapText="1"/>
    </xf>
    <xf numFmtId="0" fontId="5" fillId="6" borderId="38" xfId="8" applyBorder="1">
      <alignment vertical="center" wrapText="1"/>
    </xf>
    <xf numFmtId="0" fontId="5" fillId="6" borderId="17" xfId="8" applyFill="1" applyBorder="1" applyAlignment="1">
      <alignment horizontal="center" wrapText="1"/>
    </xf>
    <xf numFmtId="0" fontId="5" fillId="6" borderId="85" xfId="7" applyBorder="1" applyProtection="1">
      <alignment vertical="center" wrapText="1"/>
    </xf>
    <xf numFmtId="0" fontId="5" fillId="6" borderId="42" xfId="7" applyBorder="1" applyProtection="1">
      <alignment vertical="center" wrapText="1"/>
    </xf>
    <xf numFmtId="0" fontId="5" fillId="6" borderId="15" xfId="7" applyBorder="1" applyProtection="1">
      <alignment vertical="center" wrapText="1"/>
    </xf>
    <xf numFmtId="0" fontId="5" fillId="6" borderId="85" xfId="7" applyBorder="1" applyAlignment="1" applyProtection="1">
      <alignment horizontal="center" vertical="center" wrapText="1"/>
    </xf>
    <xf numFmtId="0" fontId="6" fillId="6" borderId="78" xfId="0" applyFont="1" applyFill="1" applyBorder="1" applyAlignment="1" applyProtection="1">
      <alignment horizontal="center" vertical="center" wrapText="1"/>
    </xf>
    <xf numFmtId="0" fontId="6" fillId="6" borderId="66" xfId="0" applyFont="1" applyFill="1" applyBorder="1" applyAlignment="1" applyProtection="1">
      <alignment horizontal="center" vertical="center" wrapText="1"/>
    </xf>
    <xf numFmtId="0" fontId="6" fillId="6" borderId="79" xfId="0" applyFont="1" applyFill="1" applyBorder="1" applyAlignment="1" applyProtection="1">
      <alignment horizontal="center" vertical="center" wrapText="1"/>
    </xf>
    <xf numFmtId="0" fontId="0" fillId="0" borderId="43" xfId="0" applyBorder="1"/>
    <xf numFmtId="0" fontId="0" fillId="0" borderId="45" xfId="0" applyBorder="1"/>
    <xf numFmtId="0" fontId="1" fillId="6" borderId="30" xfId="6" applyFill="1" applyBorder="1" applyAlignment="1">
      <alignment horizontal="center" vertical="center" wrapText="1"/>
    </xf>
    <xf numFmtId="0" fontId="1" fillId="6" borderId="34" xfId="6" applyFill="1" applyBorder="1" applyAlignment="1">
      <alignment horizontal="center" vertical="center" wrapText="1"/>
    </xf>
    <xf numFmtId="0" fontId="5" fillId="6" borderId="32" xfId="7" applyBorder="1" applyAlignment="1" applyProtection="1">
      <alignment vertical="center" wrapText="1"/>
    </xf>
    <xf numFmtId="0" fontId="5" fillId="6" borderId="33" xfId="7" applyBorder="1" applyAlignment="1" applyProtection="1">
      <alignment vertical="center" wrapText="1"/>
    </xf>
    <xf numFmtId="0" fontId="5" fillId="6" borderId="15" xfId="7" applyBorder="1" applyAlignment="1" applyProtection="1">
      <alignment vertical="center" wrapText="1"/>
    </xf>
    <xf numFmtId="0" fontId="5" fillId="6" borderId="37" xfId="8" applyBorder="1" applyAlignment="1">
      <alignment vertical="center" wrapText="1"/>
    </xf>
    <xf numFmtId="0" fontId="5" fillId="6" borderId="70" xfId="8" applyBorder="1" applyAlignment="1">
      <alignment vertical="center" wrapText="1"/>
    </xf>
    <xf numFmtId="0" fontId="6" fillId="3" borderId="2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5" fillId="6" borderId="24" xfId="8" applyFill="1" applyBorder="1" applyAlignment="1" applyProtection="1">
      <alignment horizontal="center" wrapText="1"/>
    </xf>
    <xf numFmtId="0" fontId="5" fillId="6" borderId="0" xfId="8" applyFill="1" applyBorder="1" applyAlignment="1" applyProtection="1">
      <alignment horizontal="center" wrapText="1"/>
    </xf>
    <xf numFmtId="0" fontId="5" fillId="6" borderId="25" xfId="8" applyFill="1" applyBorder="1" applyAlignment="1" applyProtection="1">
      <alignment horizontal="center" wrapText="1"/>
    </xf>
    <xf numFmtId="0" fontId="1" fillId="6" borderId="30" xfId="6" applyFill="1" applyBorder="1" applyProtection="1">
      <alignment horizontal="center" vertical="center"/>
    </xf>
    <xf numFmtId="0" fontId="1" fillId="6" borderId="34" xfId="6" applyFill="1" applyBorder="1" applyProtection="1">
      <alignment horizontal="center" vertical="center"/>
    </xf>
    <xf numFmtId="0" fontId="1" fillId="6" borderId="39" xfId="6" applyFill="1" applyBorder="1" applyProtection="1">
      <alignment horizontal="center" vertical="center"/>
    </xf>
    <xf numFmtId="0" fontId="5" fillId="6" borderId="36" xfId="8" applyBorder="1" applyProtection="1">
      <alignment vertical="center" wrapText="1"/>
    </xf>
    <xf numFmtId="0" fontId="6" fillId="0" borderId="22" xfId="2" applyFill="1" applyBorder="1" applyAlignment="1" applyProtection="1">
      <alignment horizontal="center" vertical="center" wrapText="1"/>
      <protection locked="0"/>
    </xf>
    <xf numFmtId="0" fontId="6" fillId="0" borderId="9" xfId="2" applyFill="1" applyBorder="1" applyAlignment="1" applyProtection="1">
      <alignment horizontal="center" vertical="center" wrapText="1"/>
      <protection locked="0"/>
    </xf>
    <xf numFmtId="0" fontId="6" fillId="0" borderId="23" xfId="2" applyFill="1" applyBorder="1" applyAlignment="1" applyProtection="1">
      <alignment horizontal="center" vertical="center" wrapText="1"/>
      <protection locked="0"/>
    </xf>
    <xf numFmtId="0" fontId="5" fillId="2" borderId="9" xfId="5" applyBorder="1" applyAlignment="1">
      <alignment horizontal="center" vertical="center" wrapText="1"/>
    </xf>
    <xf numFmtId="0" fontId="0" fillId="0" borderId="23" xfId="0" applyBorder="1"/>
    <xf numFmtId="0" fontId="9" fillId="7" borderId="48" xfId="4" applyFont="1" applyBorder="1" applyAlignment="1">
      <alignment horizontal="center" vertical="center" wrapText="1"/>
    </xf>
    <xf numFmtId="0" fontId="9" fillId="7" borderId="55" xfId="4" applyFont="1" applyBorder="1" applyAlignment="1">
      <alignment horizontal="center" vertical="center" wrapText="1"/>
    </xf>
    <xf numFmtId="0" fontId="9" fillId="7" borderId="24" xfId="4" applyFont="1" applyBorder="1" applyAlignment="1">
      <alignment horizontal="center" vertical="center" wrapText="1"/>
    </xf>
    <xf numFmtId="0" fontId="9" fillId="7" borderId="53" xfId="4" applyFont="1" applyBorder="1" applyAlignment="1">
      <alignment horizontal="center" vertical="center" wrapText="1"/>
    </xf>
    <xf numFmtId="0" fontId="9" fillId="7" borderId="26" xfId="4" applyFont="1" applyBorder="1" applyAlignment="1">
      <alignment horizontal="center" vertical="center" wrapText="1"/>
    </xf>
    <xf numFmtId="0" fontId="9" fillId="7" borderId="56" xfId="4" applyFont="1" applyBorder="1" applyAlignment="1">
      <alignment horizontal="center" vertical="center" wrapText="1"/>
    </xf>
    <xf numFmtId="0" fontId="5" fillId="2" borderId="28" xfId="5" applyBorder="1" applyAlignment="1">
      <alignment horizontal="center" vertical="center" wrapText="1"/>
    </xf>
    <xf numFmtId="0" fontId="0" fillId="0" borderId="29" xfId="0" applyBorder="1"/>
    <xf numFmtId="0" fontId="5" fillId="2" borderId="51" xfId="5" applyBorder="1" applyAlignment="1">
      <alignment horizontal="center" vertical="center" wrapText="1"/>
    </xf>
    <xf numFmtId="0" fontId="0" fillId="0" borderId="54" xfId="0" applyBorder="1"/>
    <xf numFmtId="0" fontId="1" fillId="0" borderId="0" xfId="0" applyFont="1" applyAlignment="1">
      <alignment horizontal="center" wrapText="1"/>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9" xfId="0" applyFont="1" applyFill="1" applyBorder="1" applyAlignment="1" applyProtection="1">
      <alignment horizontal="center" wrapText="1"/>
      <protection hidden="1"/>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9" fillId="4" borderId="6" xfId="0" applyFont="1" applyFill="1" applyBorder="1" applyAlignment="1" applyProtection="1">
      <alignment horizontal="center"/>
      <protection locked="0"/>
    </xf>
    <xf numFmtId="0" fontId="0" fillId="0" borderId="7" xfId="0" applyBorder="1"/>
    <xf numFmtId="0" fontId="0" fillId="0" borderId="8" xfId="0" applyBorder="1"/>
    <xf numFmtId="0" fontId="10" fillId="4" borderId="10" xfId="0" applyFont="1" applyFill="1" applyBorder="1" applyAlignment="1" applyProtection="1">
      <alignment horizontal="center"/>
      <protection locked="0"/>
    </xf>
    <xf numFmtId="0" fontId="0" fillId="0" borderId="11" xfId="0" applyBorder="1"/>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20" xfId="1" applyBorder="1">
      <alignment horizontal="center" vertical="center"/>
    </xf>
    <xf numFmtId="0" fontId="5" fillId="2" borderId="13" xfId="1" applyBorder="1" applyAlignment="1">
      <alignment horizontal="center" vertical="center" wrapText="1"/>
    </xf>
    <xf numFmtId="0" fontId="5" fillId="2" borderId="20" xfId="1" applyBorder="1" applyAlignment="1">
      <alignment horizontal="center" vertical="center" wrapText="1"/>
    </xf>
    <xf numFmtId="0" fontId="5" fillId="2" borderId="13" xfId="5" applyBorder="1" applyAlignment="1">
      <alignment horizontal="center" vertical="center" wrapText="1"/>
    </xf>
    <xf numFmtId="0" fontId="5" fillId="2" borderId="20" xfId="5" applyBorder="1" applyAlignment="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6" xfId="1" applyBorder="1" applyAlignment="1">
      <alignment horizontal="center" vertical="center"/>
    </xf>
    <xf numFmtId="0" fontId="5" fillId="2" borderId="7" xfId="1" applyBorder="1" applyAlignment="1">
      <alignment horizontal="center" vertical="center"/>
    </xf>
    <xf numFmtId="0" fontId="5" fillId="2" borderId="8" xfId="1" applyBorder="1" applyAlignment="1">
      <alignment horizontal="center" vertical="center"/>
    </xf>
    <xf numFmtId="0" fontId="5" fillId="2" borderId="17" xfId="1" applyBorder="1" applyAlignment="1">
      <alignment horizontal="center" vertical="center"/>
    </xf>
    <xf numFmtId="0" fontId="5" fillId="2" borderId="1" xfId="1" applyBorder="1" applyAlignment="1">
      <alignment horizontal="center" vertical="center"/>
    </xf>
    <xf numFmtId="0" fontId="5" fillId="2" borderId="18" xfId="1" applyBorder="1" applyAlignment="1">
      <alignment horizontal="center" vertical="center"/>
    </xf>
    <xf numFmtId="0" fontId="0" fillId="0" borderId="20" xfId="0" applyBorder="1"/>
    <xf numFmtId="0" fontId="7" fillId="5" borderId="69"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9" xfId="0" applyFont="1" applyFill="1" applyBorder="1" applyAlignment="1" applyProtection="1">
      <alignment horizontal="left"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4"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66" xfId="0" applyBorder="1" applyAlignment="1">
      <alignment horizontal="center" vertical="center"/>
    </xf>
    <xf numFmtId="0" fontId="6" fillId="3" borderId="36" xfId="2" applyFill="1" applyBorder="1" applyAlignment="1">
      <alignment horizontal="left" vertical="center" wrapText="1"/>
      <protection locked="0"/>
    </xf>
    <xf numFmtId="0" fontId="6" fillId="3" borderId="40" xfId="2" applyFill="1" applyBorder="1" applyAlignment="1">
      <alignment horizontal="left" vertical="center" wrapText="1"/>
      <protection locked="0"/>
    </xf>
    <xf numFmtId="14" fontId="6" fillId="3" borderId="36" xfId="2" applyNumberFormat="1" applyFill="1" applyBorder="1" applyAlignment="1">
      <alignment horizontal="left" vertical="center" wrapText="1"/>
      <protection locked="0"/>
    </xf>
    <xf numFmtId="14" fontId="6" fillId="3" borderId="40" xfId="2" applyNumberFormat="1" applyFill="1" applyBorder="1" applyAlignment="1">
      <alignment horizontal="left" vertical="center" wrapText="1"/>
      <protection locked="0"/>
    </xf>
    <xf numFmtId="14" fontId="6" fillId="4" borderId="36" xfId="8" applyNumberFormat="1" applyFont="1" applyFill="1" applyAlignment="1">
      <alignment horizontal="left" vertical="center" wrapText="1"/>
    </xf>
    <xf numFmtId="14" fontId="6" fillId="4" borderId="40" xfId="8" applyNumberFormat="1" applyFont="1" applyFill="1" applyBorder="1" applyAlignment="1">
      <alignment horizontal="left" vertical="center" wrapText="1"/>
    </xf>
    <xf numFmtId="0" fontId="6" fillId="0" borderId="36" xfId="8" applyFont="1" applyFill="1" applyBorder="1" applyAlignment="1">
      <alignment vertical="center" wrapText="1"/>
    </xf>
    <xf numFmtId="0" fontId="0" fillId="0" borderId="77" xfId="0" applyFont="1" applyBorder="1" applyAlignment="1">
      <alignment vertical="center" wrapText="1"/>
    </xf>
    <xf numFmtId="0" fontId="6" fillId="0" borderId="36" xfId="2" applyFill="1" applyBorder="1" applyAlignment="1">
      <alignment horizontal="left" vertical="center" wrapText="1"/>
      <protection locked="0"/>
    </xf>
    <xf numFmtId="0" fontId="0" fillId="0" borderId="77" xfId="0" applyBorder="1" applyAlignment="1">
      <alignment vertical="center" wrapText="1"/>
    </xf>
    <xf numFmtId="14" fontId="6" fillId="0" borderId="36" xfId="8" applyNumberFormat="1" applyFont="1" applyFill="1" applyBorder="1" applyAlignment="1">
      <alignment horizontal="left" vertical="center" wrapText="1"/>
    </xf>
    <xf numFmtId="0" fontId="0" fillId="0" borderId="77" xfId="0" applyFont="1" applyBorder="1" applyAlignment="1">
      <alignment horizontal="left" vertical="center" wrapText="1"/>
    </xf>
    <xf numFmtId="0" fontId="6" fillId="0" borderId="70" xfId="2" applyFill="1" applyBorder="1" applyAlignment="1">
      <alignment horizontal="left" vertical="center" wrapText="1"/>
      <protection locked="0"/>
    </xf>
    <xf numFmtId="0" fontId="0" fillId="0" borderId="79" xfId="0" applyBorder="1" applyAlignment="1">
      <alignment vertical="center" wrapText="1"/>
    </xf>
    <xf numFmtId="0" fontId="5" fillId="12" borderId="24" xfId="8" applyFill="1" applyBorder="1" applyAlignment="1">
      <alignment horizontal="center" wrapText="1"/>
    </xf>
    <xf numFmtId="0" fontId="0" fillId="12" borderId="0" xfId="0" applyFill="1" applyBorder="1" applyAlignment="1">
      <alignment horizontal="center" wrapText="1"/>
    </xf>
    <xf numFmtId="0" fontId="0" fillId="12" borderId="25" xfId="0" applyFill="1" applyBorder="1" applyAlignment="1">
      <alignment horizontal="center" wrapText="1"/>
    </xf>
    <xf numFmtId="0" fontId="0" fillId="12" borderId="78" xfId="0" applyFill="1" applyBorder="1" applyAlignment="1">
      <alignment horizontal="center" wrapText="1"/>
    </xf>
    <xf numFmtId="0" fontId="0" fillId="12" borderId="66" xfId="0" applyFill="1" applyBorder="1" applyAlignment="1">
      <alignment horizontal="center" wrapText="1"/>
    </xf>
    <xf numFmtId="0" fontId="0" fillId="12" borderId="79" xfId="0" applyFill="1" applyBorder="1" applyAlignment="1">
      <alignment horizontal="center" wrapText="1"/>
    </xf>
    <xf numFmtId="0" fontId="6" fillId="3" borderId="36" xfId="2" applyFill="1" applyBorder="1">
      <alignment horizontal="left" vertical="center" wrapText="1"/>
      <protection locked="0"/>
    </xf>
    <xf numFmtId="0" fontId="6" fillId="3" borderId="12" xfId="2" applyFill="1" applyBorder="1">
      <alignment horizontal="left" vertical="center" wrapText="1"/>
      <protection locked="0"/>
    </xf>
    <xf numFmtId="14" fontId="6" fillId="3" borderId="12" xfId="2" applyNumberFormat="1" applyFill="1" applyBorder="1" applyAlignment="1">
      <alignment horizontal="left" vertical="center" wrapText="1"/>
      <protection locked="0"/>
    </xf>
    <xf numFmtId="0" fontId="6" fillId="3" borderId="70" xfId="2" applyFill="1" applyBorder="1">
      <alignment horizontal="left" vertical="center" wrapText="1"/>
      <protection locked="0"/>
    </xf>
    <xf numFmtId="0" fontId="6" fillId="3" borderId="25" xfId="2" applyFill="1" applyBorder="1">
      <alignment horizontal="left" vertical="center" wrapText="1"/>
      <protection locked="0"/>
    </xf>
    <xf numFmtId="0" fontId="5" fillId="6" borderId="96" xfId="7" applyBorder="1" applyProtection="1">
      <alignment vertical="center" wrapText="1"/>
    </xf>
    <xf numFmtId="0" fontId="5" fillId="6" borderId="41" xfId="8" applyBorder="1">
      <alignment vertical="center" wrapText="1"/>
    </xf>
    <xf numFmtId="0" fontId="5" fillId="6" borderId="37" xfId="8" applyFill="1" applyBorder="1" applyAlignment="1">
      <alignment horizontal="center"/>
    </xf>
    <xf numFmtId="0" fontId="5" fillId="6" borderId="71" xfId="8" applyFill="1" applyBorder="1" applyAlignment="1">
      <alignment horizontal="center"/>
    </xf>
    <xf numFmtId="0" fontId="5" fillId="6" borderId="70" xfId="8" applyFill="1" applyBorder="1" applyAlignment="1">
      <alignment horizontal="center"/>
    </xf>
    <xf numFmtId="0" fontId="6" fillId="0" borderId="41" xfId="8" applyFont="1" applyFill="1" applyBorder="1">
      <alignment vertical="center" wrapText="1"/>
    </xf>
    <xf numFmtId="0" fontId="6" fillId="0" borderId="81" xfId="8" applyFont="1" applyFill="1" applyBorder="1">
      <alignment vertical="center" wrapText="1"/>
    </xf>
    <xf numFmtId="0" fontId="6" fillId="0" borderId="41" xfId="8" applyFont="1" applyFill="1" applyBorder="1" applyAlignment="1">
      <alignment horizontal="left" vertical="center" wrapText="1"/>
    </xf>
    <xf numFmtId="0" fontId="6" fillId="0" borderId="81" xfId="8" applyFont="1" applyFill="1" applyBorder="1" applyAlignment="1">
      <alignment horizontal="left" vertical="center" wrapText="1"/>
    </xf>
    <xf numFmtId="14" fontId="6" fillId="0" borderId="41" xfId="2" applyNumberFormat="1" applyFill="1" applyBorder="1" applyAlignment="1">
      <alignment horizontal="left" vertical="center" wrapText="1"/>
      <protection locked="0"/>
    </xf>
    <xf numFmtId="14" fontId="6" fillId="0" borderId="81" xfId="2" applyNumberFormat="1" applyFill="1" applyBorder="1" applyAlignment="1">
      <alignment horizontal="left" vertical="center" wrapText="1"/>
      <protection locked="0"/>
    </xf>
    <xf numFmtId="0" fontId="6" fillId="0" borderId="41" xfId="2" applyFill="1" applyBorder="1">
      <alignment horizontal="left" vertical="center" wrapText="1"/>
      <protection locked="0"/>
    </xf>
    <xf numFmtId="0" fontId="6" fillId="0" borderId="81" xfId="2" applyFill="1" applyBorder="1">
      <alignment horizontal="left" vertical="center" wrapText="1"/>
      <protection locked="0"/>
    </xf>
    <xf numFmtId="0" fontId="6" fillId="0" borderId="36" xfId="8" applyFont="1" applyFill="1" applyAlignment="1">
      <alignment horizontal="left" vertical="center" wrapText="1"/>
    </xf>
    <xf numFmtId="0" fontId="6" fillId="0" borderId="40" xfId="8" applyFont="1" applyFill="1" applyBorder="1" applyAlignment="1">
      <alignment horizontal="left" vertical="center" wrapText="1"/>
    </xf>
    <xf numFmtId="0" fontId="6" fillId="0" borderId="36" xfId="8" applyFont="1" applyFill="1" applyAlignment="1">
      <alignment vertical="center" wrapText="1"/>
    </xf>
    <xf numFmtId="0" fontId="6" fillId="0" borderId="40" xfId="8" applyFont="1" applyFill="1" applyBorder="1" applyAlignment="1">
      <alignment vertical="center" wrapText="1"/>
    </xf>
    <xf numFmtId="14" fontId="6" fillId="0" borderId="36" xfId="8" applyNumberFormat="1" applyFont="1" applyFill="1" applyAlignment="1">
      <alignment horizontal="left" vertical="center" wrapText="1"/>
    </xf>
    <xf numFmtId="0" fontId="6" fillId="0" borderId="70" xfId="8" applyFont="1" applyFill="1" applyBorder="1" applyAlignment="1">
      <alignment horizontal="left" vertical="center" wrapText="1"/>
    </xf>
    <xf numFmtId="0" fontId="6" fillId="0" borderId="27" xfId="8" applyFont="1" applyFill="1" applyBorder="1" applyAlignment="1">
      <alignment horizontal="left" vertical="center" wrapText="1"/>
    </xf>
    <xf numFmtId="0" fontId="6" fillId="0" borderId="41" xfId="8" applyFont="1" applyFill="1" applyBorder="1" applyAlignment="1">
      <alignment vertical="center" wrapText="1"/>
    </xf>
    <xf numFmtId="0" fontId="0" fillId="0" borderId="41" xfId="0" applyFont="1" applyBorder="1" applyAlignment="1">
      <alignment vertical="center" wrapText="1"/>
    </xf>
    <xf numFmtId="0" fontId="0" fillId="0" borderId="81" xfId="0" applyFont="1" applyBorder="1" applyAlignment="1">
      <alignment vertical="center" wrapText="1"/>
    </xf>
    <xf numFmtId="0" fontId="6" fillId="3" borderId="41" xfId="2" applyFill="1" applyBorder="1" applyAlignment="1">
      <alignment horizontal="left" vertical="center" wrapText="1"/>
      <protection locked="0"/>
    </xf>
    <xf numFmtId="0" fontId="0" fillId="0" borderId="41" xfId="0" applyBorder="1" applyAlignment="1">
      <alignment vertical="center" wrapText="1"/>
    </xf>
    <xf numFmtId="0" fontId="0" fillId="0" borderId="81" xfId="0" applyBorder="1" applyAlignment="1">
      <alignment vertical="center" wrapText="1"/>
    </xf>
    <xf numFmtId="14" fontId="6" fillId="3" borderId="41" xfId="2" applyNumberFormat="1" applyFill="1" applyBorder="1" applyAlignment="1">
      <alignment horizontal="left" vertical="center" wrapText="1"/>
      <protection locked="0"/>
    </xf>
    <xf numFmtId="0" fontId="0" fillId="0" borderId="40" xfId="0" applyBorder="1" applyAlignment="1">
      <alignment vertical="center" wrapText="1"/>
    </xf>
    <xf numFmtId="0" fontId="6" fillId="3" borderId="70" xfId="2" applyFill="1" applyBorder="1" applyAlignment="1">
      <alignment horizontal="left" vertical="center" wrapText="1"/>
      <protection locked="0"/>
    </xf>
    <xf numFmtId="0" fontId="0" fillId="0" borderId="27" xfId="0" applyBorder="1" applyAlignment="1">
      <alignment vertical="center" wrapText="1"/>
    </xf>
    <xf numFmtId="0" fontId="0" fillId="0" borderId="12" xfId="0" applyFont="1" applyBorder="1" applyAlignment="1">
      <alignment vertical="center" wrapText="1"/>
    </xf>
    <xf numFmtId="0" fontId="0" fillId="0" borderId="40" xfId="0" applyFont="1" applyBorder="1" applyAlignment="1">
      <alignment vertical="center" wrapText="1"/>
    </xf>
    <xf numFmtId="0" fontId="0" fillId="0" borderId="12" xfId="0" applyBorder="1" applyAlignment="1">
      <alignment vertical="center" wrapText="1"/>
    </xf>
    <xf numFmtId="0" fontId="0" fillId="0" borderId="25" xfId="0" applyBorder="1" applyAlignment="1">
      <alignment vertical="center" wrapText="1"/>
    </xf>
    <xf numFmtId="0" fontId="6" fillId="0" borderId="36" xfId="8" applyFont="1" applyFill="1" applyBorder="1" applyAlignment="1">
      <alignment horizontal="left" vertical="center" wrapText="1"/>
    </xf>
    <xf numFmtId="0" fontId="5" fillId="14" borderId="31" xfId="7" applyFont="1" applyFill="1" applyBorder="1" applyProtection="1">
      <alignment vertical="center" wrapText="1"/>
    </xf>
    <xf numFmtId="0" fontId="6" fillId="13" borderId="24" xfId="0" applyFont="1" applyFill="1" applyBorder="1" applyAlignment="1" applyProtection="1">
      <alignment horizontal="center" vertical="center" wrapText="1"/>
      <protection locked="0"/>
    </xf>
    <xf numFmtId="0" fontId="6" fillId="13" borderId="0" xfId="0" applyFont="1" applyFill="1" applyBorder="1" applyAlignment="1" applyProtection="1">
      <alignment horizontal="center" vertical="center" wrapText="1"/>
      <protection locked="0"/>
    </xf>
    <xf numFmtId="0" fontId="6" fillId="13" borderId="25" xfId="0" applyFont="1" applyFill="1" applyBorder="1" applyAlignment="1" applyProtection="1">
      <alignment horizontal="center" vertical="center" wrapText="1"/>
      <protection locked="0"/>
    </xf>
    <xf numFmtId="0" fontId="5" fillId="14" borderId="37" xfId="8" applyFont="1" applyFill="1" applyBorder="1">
      <alignment vertical="center" wrapText="1"/>
    </xf>
    <xf numFmtId="0" fontId="5" fillId="14" borderId="70" xfId="8" applyFont="1" applyFill="1" applyBorder="1">
      <alignment vertical="center" wrapText="1"/>
    </xf>
    <xf numFmtId="0" fontId="5" fillId="14" borderId="32" xfId="7" applyFont="1" applyFill="1" applyBorder="1" applyAlignment="1" applyProtection="1">
      <alignment horizontal="center" vertical="center" wrapText="1"/>
    </xf>
    <xf numFmtId="0" fontId="5" fillId="14" borderId="15" xfId="7" applyFont="1" applyFill="1" applyBorder="1" applyAlignment="1" applyProtection="1">
      <alignment horizontal="center" vertical="center" wrapText="1"/>
    </xf>
    <xf numFmtId="0" fontId="5" fillId="14" borderId="33" xfId="7" applyFont="1" applyFill="1" applyBorder="1" applyAlignment="1" applyProtection="1">
      <alignment horizontal="center" vertical="center" wrapText="1"/>
    </xf>
    <xf numFmtId="0" fontId="5" fillId="14" borderId="24" xfId="8" applyFont="1" applyFill="1" applyBorder="1" applyAlignment="1">
      <alignment horizontal="center" wrapText="1"/>
    </xf>
    <xf numFmtId="0" fontId="5" fillId="14" borderId="0" xfId="8" applyFont="1" applyFill="1" applyBorder="1" applyAlignment="1">
      <alignment horizontal="center" wrapText="1"/>
    </xf>
    <xf numFmtId="0" fontId="5" fillId="14" borderId="25" xfId="8" applyFont="1" applyFill="1" applyBorder="1" applyAlignment="1">
      <alignment horizontal="center" wrapText="1"/>
    </xf>
    <xf numFmtId="0" fontId="5" fillId="14" borderId="26" xfId="8" applyFont="1" applyFill="1" applyBorder="1" applyAlignment="1">
      <alignment horizontal="center" wrapText="1"/>
    </xf>
    <xf numFmtId="0" fontId="5" fillId="14" borderId="1" xfId="8" applyFont="1" applyFill="1" applyBorder="1" applyAlignment="1">
      <alignment horizontal="center" wrapText="1"/>
    </xf>
    <xf numFmtId="0" fontId="5" fillId="14" borderId="27" xfId="8" applyFont="1" applyFill="1" applyBorder="1" applyAlignment="1">
      <alignment horizontal="center" wrapText="1"/>
    </xf>
    <xf numFmtId="0" fontId="6" fillId="13" borderId="24" xfId="0" applyFont="1" applyFill="1" applyBorder="1" applyAlignment="1" applyProtection="1">
      <alignment horizontal="center" vertical="center" wrapText="1"/>
    </xf>
    <xf numFmtId="0" fontId="6" fillId="13" borderId="0" xfId="0" applyFont="1" applyFill="1" applyBorder="1" applyAlignment="1" applyProtection="1">
      <alignment horizontal="center" vertical="center" wrapText="1"/>
    </xf>
    <xf numFmtId="0" fontId="6" fillId="13" borderId="25" xfId="0" applyFont="1" applyFill="1" applyBorder="1" applyAlignment="1" applyProtection="1">
      <alignment horizontal="center" vertical="center" wrapText="1"/>
    </xf>
    <xf numFmtId="0" fontId="5" fillId="14" borderId="36" xfId="8" applyFont="1" applyFill="1" applyBorder="1" applyProtection="1">
      <alignment vertical="center" wrapText="1"/>
    </xf>
    <xf numFmtId="0" fontId="5" fillId="14" borderId="24" xfId="8" applyFont="1" applyFill="1" applyBorder="1" applyAlignment="1" applyProtection="1">
      <alignment horizontal="center" wrapText="1"/>
    </xf>
    <xf numFmtId="0" fontId="5" fillId="14" borderId="0" xfId="8" applyFont="1" applyFill="1" applyBorder="1" applyAlignment="1" applyProtection="1">
      <alignment horizontal="center" wrapText="1"/>
    </xf>
    <xf numFmtId="0" fontId="5" fillId="14" borderId="25" xfId="8" applyFont="1" applyFill="1" applyBorder="1" applyAlignment="1" applyProtection="1">
      <alignment horizontal="center" wrapText="1"/>
    </xf>
    <xf numFmtId="0" fontId="6" fillId="14" borderId="26" xfId="0" applyFont="1" applyFill="1" applyBorder="1" applyAlignment="1" applyProtection="1">
      <alignment horizontal="center" vertical="center" wrapText="1"/>
    </xf>
    <xf numFmtId="0" fontId="6" fillId="14" borderId="1" xfId="0" applyFont="1" applyFill="1" applyBorder="1" applyAlignment="1" applyProtection="1">
      <alignment horizontal="center" vertical="center" wrapText="1"/>
    </xf>
    <xf numFmtId="0" fontId="6" fillId="14" borderId="27" xfId="0" applyFont="1" applyFill="1" applyBorder="1" applyAlignment="1" applyProtection="1">
      <alignment horizontal="center" vertical="center" wrapText="1"/>
    </xf>
    <xf numFmtId="0" fontId="5" fillId="14" borderId="36" xfId="8" applyFont="1" applyFill="1" applyBorder="1">
      <alignment vertical="center" wrapText="1"/>
    </xf>
    <xf numFmtId="0" fontId="5" fillId="14" borderId="32" xfId="7" applyFont="1" applyFill="1" applyBorder="1" applyProtection="1">
      <alignment vertical="center" wrapText="1"/>
    </xf>
    <xf numFmtId="0" fontId="5" fillId="14" borderId="33" xfId="7" applyFont="1" applyFill="1" applyBorder="1" applyProtection="1">
      <alignment vertical="center" wrapText="1"/>
    </xf>
    <xf numFmtId="0" fontId="5" fillId="14" borderId="15" xfId="7" applyFont="1" applyFill="1" applyBorder="1" applyProtection="1">
      <alignment vertical="center" wrapText="1"/>
    </xf>
    <xf numFmtId="0" fontId="31" fillId="6" borderId="24" xfId="8" applyFont="1" applyFill="1" applyBorder="1" applyAlignment="1">
      <alignment horizontal="center" wrapText="1"/>
    </xf>
    <xf numFmtId="0" fontId="31" fillId="6" borderId="0" xfId="8" applyFont="1" applyFill="1" applyBorder="1" applyAlignment="1">
      <alignment horizontal="center" wrapText="1"/>
    </xf>
    <xf numFmtId="0" fontId="31" fillId="6" borderId="25" xfId="8" applyFont="1" applyFill="1" applyBorder="1" applyAlignment="1">
      <alignment horizontal="center" wrapText="1"/>
    </xf>
    <xf numFmtId="0" fontId="31" fillId="6" borderId="26" xfId="8" applyFont="1" applyFill="1" applyBorder="1" applyAlignment="1">
      <alignment horizontal="center" wrapText="1"/>
    </xf>
    <xf numFmtId="0" fontId="31" fillId="6" borderId="1" xfId="8" applyFont="1" applyFill="1" applyBorder="1" applyAlignment="1">
      <alignment horizontal="center" wrapText="1"/>
    </xf>
    <xf numFmtId="0" fontId="31" fillId="6" borderId="27" xfId="8" applyFont="1" applyFill="1" applyBorder="1" applyAlignment="1">
      <alignment horizontal="center" wrapText="1"/>
    </xf>
    <xf numFmtId="0" fontId="5" fillId="6" borderId="31" xfId="7" applyFont="1" applyBorder="1" applyProtection="1">
      <alignment vertical="center" wrapText="1"/>
    </xf>
    <xf numFmtId="0" fontId="5" fillId="6" borderId="32" xfId="7" applyFont="1" applyBorder="1" applyAlignment="1" applyProtection="1">
      <alignment horizontal="center" vertical="center" wrapText="1"/>
    </xf>
    <xf numFmtId="0" fontId="5" fillId="6" borderId="15" xfId="7" applyFont="1" applyBorder="1" applyAlignment="1" applyProtection="1">
      <alignment horizontal="center" vertical="center" wrapText="1"/>
    </xf>
    <xf numFmtId="0" fontId="5" fillId="6" borderId="33" xfId="7" applyFont="1" applyBorder="1" applyAlignment="1" applyProtection="1">
      <alignment horizontal="center" vertical="center" wrapText="1"/>
    </xf>
    <xf numFmtId="0" fontId="28" fillId="3" borderId="24" xfId="0" applyFont="1" applyFill="1" applyBorder="1" applyAlignment="1" applyProtection="1">
      <alignment horizontal="center" vertical="center" wrapText="1"/>
      <protection locked="0"/>
    </xf>
    <xf numFmtId="0" fontId="28" fillId="3" borderId="0" xfId="0" applyFont="1" applyFill="1" applyBorder="1" applyAlignment="1" applyProtection="1">
      <alignment horizontal="center" vertical="center" wrapText="1"/>
      <protection locked="0"/>
    </xf>
    <xf numFmtId="0" fontId="28" fillId="3" borderId="25" xfId="0" applyFont="1" applyFill="1" applyBorder="1" applyAlignment="1" applyProtection="1">
      <alignment horizontal="center" vertical="center" wrapText="1"/>
      <protection locked="0"/>
    </xf>
    <xf numFmtId="0" fontId="31" fillId="6" borderId="37" xfId="8" applyFont="1" applyBorder="1">
      <alignment vertical="center" wrapText="1"/>
    </xf>
    <xf numFmtId="0" fontId="31" fillId="6" borderId="70" xfId="8" applyFont="1" applyBorder="1">
      <alignment vertical="center" wrapText="1"/>
    </xf>
    <xf numFmtId="0" fontId="0" fillId="0" borderId="0" xfId="0" applyAlignment="1">
      <alignment horizontal="left"/>
    </xf>
    <xf numFmtId="0" fontId="0" fillId="0" borderId="25" xfId="0" applyBorder="1" applyAlignment="1">
      <alignment horizontal="left"/>
    </xf>
    <xf numFmtId="0" fontId="6" fillId="3" borderId="12" xfId="2" applyFill="1" applyBorder="1" applyAlignment="1">
      <alignment horizontal="left" vertical="center" wrapText="1"/>
      <protection locked="0"/>
    </xf>
    <xf numFmtId="0" fontId="6" fillId="3" borderId="77" xfId="2" applyFill="1" applyBorder="1" applyAlignment="1">
      <alignment horizontal="left" vertical="center" wrapText="1"/>
      <protection locked="0"/>
    </xf>
    <xf numFmtId="0" fontId="0" fillId="0" borderId="77" xfId="0" applyBorder="1" applyAlignment="1">
      <alignment horizontal="left" vertical="center" wrapText="1"/>
    </xf>
    <xf numFmtId="0" fontId="6" fillId="0" borderId="77" xfId="8" applyFont="1" applyFill="1" applyBorder="1" applyAlignment="1">
      <alignment horizontal="left" vertical="center" wrapText="1"/>
    </xf>
    <xf numFmtId="0" fontId="6" fillId="0" borderId="25" xfId="8" applyFont="1" applyFill="1" applyBorder="1" applyAlignment="1">
      <alignment horizontal="left" vertical="center" wrapText="1"/>
    </xf>
    <xf numFmtId="0" fontId="6" fillId="0" borderId="79" xfId="8" applyFont="1" applyFill="1" applyBorder="1" applyAlignment="1">
      <alignment horizontal="left" vertical="center" wrapText="1"/>
    </xf>
    <xf numFmtId="0" fontId="0" fillId="0" borderId="0" xfId="0" applyBorder="1" applyAlignment="1">
      <alignment horizontal="center"/>
    </xf>
    <xf numFmtId="0" fontId="6" fillId="3" borderId="27" xfId="2" applyFill="1" applyBorder="1" applyAlignment="1">
      <alignment horizontal="left" vertical="center" wrapText="1"/>
      <protection locked="0"/>
    </xf>
    <xf numFmtId="0" fontId="1" fillId="6" borderId="43" xfId="6" applyFill="1" applyBorder="1" applyProtection="1">
      <alignment horizontal="center" vertical="center"/>
    </xf>
    <xf numFmtId="0" fontId="1" fillId="6" borderId="45" xfId="6" applyFill="1" applyBorder="1" applyProtection="1">
      <alignment horizontal="center" vertical="center"/>
    </xf>
    <xf numFmtId="0" fontId="2" fillId="5" borderId="74" xfId="0" applyFont="1" applyFill="1" applyBorder="1" applyAlignment="1">
      <alignment horizontal="center"/>
    </xf>
    <xf numFmtId="0" fontId="6" fillId="3" borderId="12" xfId="2" applyAlignment="1">
      <alignment horizontal="left" vertical="center" wrapText="1"/>
      <protection locked="0"/>
    </xf>
    <xf numFmtId="0" fontId="0" fillId="0" borderId="35" xfId="0" applyBorder="1" applyAlignment="1">
      <alignment horizontal="left" vertical="center" wrapText="1"/>
    </xf>
    <xf numFmtId="14" fontId="6" fillId="3" borderId="12" xfId="0" applyNumberFormat="1" applyFont="1" applyFill="1" applyBorder="1" applyAlignment="1" applyProtection="1">
      <alignment horizontal="left" vertical="center" wrapText="1"/>
      <protection locked="0"/>
    </xf>
    <xf numFmtId="0" fontId="6" fillId="0" borderId="36" xfId="2" applyFont="1" applyFill="1" applyBorder="1" applyAlignment="1">
      <alignment horizontal="left" vertical="center" wrapText="1"/>
      <protection locked="0"/>
    </xf>
    <xf numFmtId="0" fontId="6" fillId="0" borderId="40" xfId="2" applyFont="1" applyFill="1" applyBorder="1" applyAlignment="1">
      <alignment horizontal="left" vertical="center" wrapText="1"/>
      <protection locked="0"/>
    </xf>
    <xf numFmtId="14" fontId="6" fillId="0" borderId="36" xfId="2" applyNumberFormat="1" applyFont="1" applyFill="1" applyBorder="1" applyAlignment="1">
      <alignment horizontal="left" vertical="center" wrapText="1"/>
      <protection locked="0"/>
    </xf>
    <xf numFmtId="14" fontId="6" fillId="0" borderId="40" xfId="2" applyNumberFormat="1" applyFont="1" applyFill="1" applyBorder="1" applyAlignment="1">
      <alignment horizontal="left" vertical="center" wrapText="1"/>
      <protection locked="0"/>
    </xf>
    <xf numFmtId="0" fontId="6" fillId="0" borderId="70" xfId="2" applyFont="1" applyFill="1" applyBorder="1" applyAlignment="1">
      <alignment horizontal="left" vertical="center" wrapText="1"/>
      <protection locked="0"/>
    </xf>
    <xf numFmtId="0" fontId="6" fillId="0" borderId="27" xfId="2" applyFont="1" applyFill="1" applyBorder="1" applyAlignment="1">
      <alignment horizontal="left" vertical="center" wrapText="1"/>
      <protection locked="0"/>
    </xf>
    <xf numFmtId="0" fontId="5" fillId="6" borderId="35" xfId="7" applyBorder="1" applyProtection="1">
      <alignment vertical="center" wrapText="1"/>
    </xf>
    <xf numFmtId="0" fontId="5" fillId="6" borderId="46" xfId="7" applyBorder="1" applyProtection="1">
      <alignment vertical="center" wrapText="1"/>
    </xf>
    <xf numFmtId="0" fontId="5" fillId="6" borderId="31" xfId="7" applyBorder="1" applyAlignment="1" applyProtection="1">
      <alignment vertical="center" wrapText="1"/>
    </xf>
    <xf numFmtId="0" fontId="6" fillId="6" borderId="46" xfId="0" applyFont="1" applyFill="1" applyBorder="1" applyAlignment="1" applyProtection="1">
      <alignment horizontal="center" vertical="center" wrapText="1"/>
    </xf>
    <xf numFmtId="0" fontId="6" fillId="6" borderId="72" xfId="0" applyFont="1" applyFill="1" applyBorder="1" applyAlignment="1" applyProtection="1">
      <alignment horizontal="center" vertical="center" wrapText="1"/>
    </xf>
    <xf numFmtId="0" fontId="6" fillId="6" borderId="47" xfId="0" applyFont="1" applyFill="1" applyBorder="1" applyAlignment="1" applyProtection="1">
      <alignment horizontal="center" vertical="center" wrapText="1"/>
    </xf>
    <xf numFmtId="0" fontId="5" fillId="6" borderId="36" xfId="8" applyAlignment="1">
      <alignment vertical="center" wrapText="1"/>
    </xf>
    <xf numFmtId="0" fontId="6" fillId="3" borderId="2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7" xfId="0" applyFont="1" applyFill="1" applyBorder="1" applyAlignment="1" applyProtection="1">
      <alignment horizontal="center" vertical="center" wrapText="1"/>
      <protection locked="0"/>
    </xf>
    <xf numFmtId="0" fontId="5" fillId="12" borderId="36" xfId="8" applyFill="1" applyAlignment="1">
      <alignment vertical="center" wrapText="1"/>
    </xf>
    <xf numFmtId="0" fontId="6" fillId="12" borderId="26"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0" fontId="6" fillId="12" borderId="27" xfId="0" applyFont="1" applyFill="1" applyBorder="1" applyAlignment="1" applyProtection="1">
      <alignment horizontal="center" vertical="center" wrapText="1"/>
    </xf>
    <xf numFmtId="0" fontId="0" fillId="0" borderId="0" xfId="0" applyAlignment="1">
      <alignment wrapText="1"/>
    </xf>
    <xf numFmtId="0" fontId="0" fillId="0" borderId="25" xfId="0" applyBorder="1" applyAlignment="1">
      <alignment wrapText="1"/>
    </xf>
    <xf numFmtId="0" fontId="5" fillId="12" borderId="31" xfId="7" applyFill="1" applyBorder="1" applyAlignment="1" applyProtection="1">
      <alignment vertical="center" wrapText="1"/>
    </xf>
    <xf numFmtId="0" fontId="6" fillId="4" borderId="24" xfId="0" applyFont="1" applyFill="1" applyBorder="1" applyAlignment="1" applyProtection="1">
      <alignment horizontal="center" vertical="center" wrapText="1"/>
      <protection locked="0"/>
    </xf>
    <xf numFmtId="0" fontId="0" fillId="4" borderId="0" xfId="0" applyFill="1" applyAlignment="1">
      <alignment wrapText="1"/>
    </xf>
    <xf numFmtId="0" fontId="0" fillId="4" borderId="25" xfId="0" applyFill="1" applyBorder="1" applyAlignment="1">
      <alignment wrapText="1"/>
    </xf>
    <xf numFmtId="0" fontId="5" fillId="12" borderId="32" xfId="7" applyFill="1" applyBorder="1" applyAlignment="1" applyProtection="1">
      <alignment vertical="center" wrapText="1"/>
    </xf>
    <xf numFmtId="0" fontId="5" fillId="12" borderId="0" xfId="8" applyFill="1" applyBorder="1" applyAlignment="1">
      <alignment horizontal="center" wrapText="1"/>
    </xf>
    <xf numFmtId="0" fontId="5" fillId="12" borderId="25" xfId="8" applyFill="1" applyBorder="1" applyAlignment="1">
      <alignment horizontal="center" wrapText="1"/>
    </xf>
  </cellXfs>
  <cellStyles count="11">
    <cellStyle name="Currency" xfId="10" builtinId="4"/>
    <cellStyle name="EntryHeading1" xfId="7"/>
    <cellStyle name="EntryHeading2" xfId="8"/>
    <cellStyle name="EntryNumber" xfId="6"/>
    <cellStyle name="FillableAgencyContact" xfId="3"/>
    <cellStyle name="FillableEntry" xfId="2"/>
    <cellStyle name="FormHeading2" xfId="4"/>
    <cellStyle name="FormOption" xfId="9"/>
    <cellStyle name="FormSubHeading" xfId="1"/>
    <cellStyle name="FormSubHeading2" xfId="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workbookViewId="0">
      <selection activeCell="B13" sqref="B13:M13"/>
    </sheetView>
  </sheetViews>
  <sheetFormatPr defaultRowHeight="15"/>
  <sheetData>
    <row r="1" spans="1:13">
      <c r="A1" s="500" t="s">
        <v>58</v>
      </c>
      <c r="B1" s="501"/>
      <c r="C1" s="501"/>
      <c r="D1" s="501"/>
      <c r="E1" s="501"/>
      <c r="F1" s="501"/>
      <c r="G1" s="501"/>
      <c r="H1" s="501"/>
      <c r="I1" s="501"/>
      <c r="J1" s="501"/>
      <c r="K1" s="501"/>
      <c r="L1" s="501"/>
      <c r="M1" s="502"/>
    </row>
    <row r="2" spans="1:13">
      <c r="A2" s="503"/>
      <c r="B2" s="504"/>
      <c r="C2" s="504"/>
      <c r="D2" s="504"/>
      <c r="E2" s="504"/>
      <c r="F2" s="504"/>
      <c r="G2" s="504"/>
      <c r="H2" s="504"/>
      <c r="I2" s="504"/>
      <c r="J2" s="504"/>
      <c r="K2" s="504"/>
      <c r="L2" s="504"/>
      <c r="M2" s="505"/>
    </row>
    <row r="3" spans="1:13">
      <c r="A3" s="506"/>
      <c r="B3" s="507"/>
      <c r="C3" s="507"/>
      <c r="D3" s="507"/>
      <c r="E3" s="507"/>
      <c r="F3" s="507"/>
      <c r="G3" s="507"/>
      <c r="H3" s="507"/>
      <c r="I3" s="507"/>
      <c r="J3" s="507"/>
      <c r="K3" s="507"/>
      <c r="L3" s="507"/>
      <c r="M3" s="508"/>
    </row>
    <row r="4" spans="1:13">
      <c r="A4" s="509" t="s">
        <v>59</v>
      </c>
      <c r="B4" s="509"/>
      <c r="C4" s="509"/>
      <c r="D4" s="509"/>
      <c r="E4" s="509"/>
      <c r="F4" s="509"/>
      <c r="G4" s="509"/>
      <c r="H4" s="509"/>
      <c r="I4" s="509"/>
      <c r="J4" s="509"/>
      <c r="K4" s="509"/>
      <c r="L4" s="509"/>
      <c r="M4" s="509"/>
    </row>
    <row r="5" spans="1:13">
      <c r="A5" s="45"/>
      <c r="B5" s="45"/>
      <c r="C5" s="45"/>
      <c r="D5" s="45"/>
      <c r="E5" s="45"/>
      <c r="F5" s="45"/>
      <c r="G5" s="45"/>
      <c r="H5" s="45"/>
      <c r="I5" s="45"/>
      <c r="J5" s="45"/>
      <c r="K5" s="45"/>
      <c r="L5" s="45"/>
      <c r="M5" s="45"/>
    </row>
    <row r="6" spans="1:13">
      <c r="A6" s="510" t="s">
        <v>60</v>
      </c>
      <c r="B6" s="510"/>
      <c r="C6" s="510"/>
      <c r="D6" s="510"/>
      <c r="E6" s="510"/>
      <c r="F6" s="510"/>
      <c r="G6" s="510"/>
      <c r="H6" s="510"/>
      <c r="I6" s="510"/>
      <c r="J6" s="510"/>
      <c r="K6" s="510"/>
      <c r="L6" s="510"/>
      <c r="M6" s="510"/>
    </row>
    <row r="7" spans="1:13">
      <c r="A7" s="45"/>
      <c r="B7" s="45"/>
      <c r="C7" s="45"/>
      <c r="D7" s="45"/>
      <c r="E7" s="45"/>
      <c r="F7" s="45"/>
      <c r="G7" s="45"/>
      <c r="H7" s="45"/>
      <c r="I7" s="45"/>
      <c r="J7" s="45"/>
      <c r="K7" s="45"/>
      <c r="L7" s="45"/>
      <c r="M7" s="45"/>
    </row>
    <row r="8" spans="1:13">
      <c r="A8" s="511" t="s">
        <v>61</v>
      </c>
      <c r="B8" s="511"/>
      <c r="C8" s="511"/>
      <c r="D8" s="511"/>
      <c r="E8" s="511"/>
      <c r="F8" s="511"/>
      <c r="G8" s="511"/>
      <c r="H8" s="511"/>
      <c r="I8" s="511"/>
      <c r="J8" s="511"/>
      <c r="K8" s="511"/>
      <c r="L8" s="511"/>
      <c r="M8" s="511"/>
    </row>
    <row r="9" spans="1:13">
      <c r="A9" s="45"/>
      <c r="B9" s="45"/>
      <c r="C9" s="45"/>
      <c r="D9" s="45"/>
      <c r="E9" s="45"/>
      <c r="F9" s="45"/>
      <c r="G9" s="45"/>
      <c r="H9" s="45"/>
      <c r="I9" s="45"/>
      <c r="J9" s="45"/>
      <c r="K9" s="45"/>
      <c r="L9" s="45"/>
      <c r="M9" s="45"/>
    </row>
    <row r="10" spans="1:13" ht="15.75">
      <c r="A10" s="53" t="s">
        <v>62</v>
      </c>
      <c r="B10" s="45"/>
      <c r="C10" s="45"/>
      <c r="D10" s="45"/>
      <c r="E10" s="45"/>
      <c r="F10" s="45"/>
      <c r="G10" s="45"/>
      <c r="H10" s="45"/>
      <c r="I10" s="45"/>
      <c r="J10" s="45"/>
      <c r="K10" s="45"/>
      <c r="L10" s="45"/>
      <c r="M10" s="45"/>
    </row>
    <row r="11" spans="1:13">
      <c r="A11" s="54"/>
      <c r="B11" s="45"/>
      <c r="C11" s="45"/>
      <c r="D11" s="45"/>
      <c r="E11" s="45"/>
      <c r="F11" s="45"/>
      <c r="G11" s="45"/>
      <c r="H11" s="45"/>
      <c r="I11" s="45"/>
      <c r="J11" s="45"/>
      <c r="K11" s="45"/>
      <c r="L11" s="45"/>
      <c r="M11" s="45"/>
    </row>
    <row r="12" spans="1:13">
      <c r="A12" s="44" t="s">
        <v>63</v>
      </c>
      <c r="B12" s="54"/>
      <c r="C12" s="54"/>
      <c r="D12" s="54"/>
      <c r="E12" s="54"/>
      <c r="F12" s="54"/>
      <c r="G12" s="54"/>
      <c r="H12" s="54"/>
      <c r="I12" s="54"/>
      <c r="J12" s="54"/>
      <c r="K12" s="54"/>
      <c r="L12" s="54"/>
      <c r="M12" s="54"/>
    </row>
    <row r="13" spans="1:13">
      <c r="A13" s="47"/>
      <c r="B13" s="498" t="s">
        <v>64</v>
      </c>
      <c r="C13" s="499"/>
      <c r="D13" s="499"/>
      <c r="E13" s="499"/>
      <c r="F13" s="499"/>
      <c r="G13" s="499"/>
      <c r="H13" s="499"/>
      <c r="I13" s="499"/>
      <c r="J13" s="499"/>
      <c r="K13" s="499"/>
      <c r="L13" s="499"/>
      <c r="M13" s="499"/>
    </row>
    <row r="14" spans="1:13">
      <c r="A14" s="47"/>
      <c r="B14" s="47" t="s">
        <v>46</v>
      </c>
      <c r="C14" s="498" t="s">
        <v>65</v>
      </c>
      <c r="D14" s="498"/>
      <c r="E14" s="498"/>
      <c r="F14" s="498"/>
      <c r="G14" s="498"/>
      <c r="H14" s="498"/>
      <c r="I14" s="498"/>
      <c r="J14" s="498"/>
      <c r="K14" s="498"/>
      <c r="L14" s="498"/>
      <c r="M14" s="498"/>
    </row>
    <row r="15" spans="1:13">
      <c r="A15" s="55"/>
      <c r="B15" s="47" t="s">
        <v>46</v>
      </c>
      <c r="C15" s="498" t="s">
        <v>66</v>
      </c>
      <c r="D15" s="498"/>
      <c r="E15" s="498"/>
      <c r="F15" s="498"/>
      <c r="G15" s="498"/>
      <c r="H15" s="498"/>
      <c r="I15" s="498"/>
      <c r="J15" s="498"/>
      <c r="K15" s="498"/>
      <c r="L15" s="498"/>
      <c r="M15" s="498"/>
    </row>
    <row r="16" spans="1:13">
      <c r="A16" s="55"/>
      <c r="B16" s="47" t="s">
        <v>46</v>
      </c>
      <c r="C16" s="498" t="s">
        <v>67</v>
      </c>
      <c r="D16" s="498"/>
      <c r="E16" s="498"/>
      <c r="F16" s="498"/>
      <c r="G16" s="498"/>
      <c r="H16" s="498"/>
      <c r="I16" s="498"/>
      <c r="J16" s="498"/>
      <c r="K16" s="498"/>
      <c r="L16" s="498"/>
      <c r="M16" s="498"/>
    </row>
    <row r="17" spans="1:13">
      <c r="A17" s="44" t="s">
        <v>68</v>
      </c>
      <c r="B17" s="45"/>
      <c r="C17" s="45"/>
      <c r="D17" s="45"/>
      <c r="E17" s="45"/>
      <c r="F17" s="45"/>
      <c r="G17" s="45"/>
      <c r="H17" s="45"/>
      <c r="I17" s="45"/>
      <c r="J17" s="45"/>
      <c r="K17" s="45"/>
      <c r="L17" s="45"/>
      <c r="M17" s="45"/>
    </row>
    <row r="18" spans="1:13">
      <c r="A18" s="47"/>
      <c r="B18" s="512" t="s">
        <v>69</v>
      </c>
      <c r="C18" s="513"/>
      <c r="D18" s="513"/>
      <c r="E18" s="513"/>
      <c r="F18" s="513"/>
      <c r="G18" s="513"/>
      <c r="H18" s="513"/>
      <c r="I18" s="513"/>
      <c r="J18" s="513"/>
      <c r="K18" s="513"/>
      <c r="L18" s="513"/>
      <c r="M18" s="513"/>
    </row>
    <row r="19" spans="1:13">
      <c r="A19" s="55"/>
      <c r="B19" s="47" t="s">
        <v>46</v>
      </c>
      <c r="C19" s="498" t="s">
        <v>70</v>
      </c>
      <c r="D19" s="498"/>
      <c r="E19" s="498"/>
      <c r="F19" s="498"/>
      <c r="G19" s="498"/>
      <c r="H19" s="498"/>
      <c r="I19" s="498"/>
      <c r="J19" s="498"/>
      <c r="K19" s="498"/>
      <c r="L19" s="498"/>
      <c r="M19" s="498"/>
    </row>
    <row r="20" spans="1:13">
      <c r="A20" s="55"/>
      <c r="B20" s="47" t="s">
        <v>46</v>
      </c>
      <c r="C20" s="498" t="s">
        <v>71</v>
      </c>
      <c r="D20" s="499"/>
      <c r="E20" s="499"/>
      <c r="F20" s="499"/>
      <c r="G20" s="499"/>
      <c r="H20" s="499"/>
      <c r="I20" s="499"/>
      <c r="J20" s="499"/>
      <c r="K20" s="499"/>
      <c r="L20" s="499"/>
      <c r="M20" s="499"/>
    </row>
    <row r="21" spans="1:13">
      <c r="A21" s="55"/>
      <c r="B21" s="47" t="s">
        <v>46</v>
      </c>
      <c r="C21" s="498" t="s">
        <v>72</v>
      </c>
      <c r="D21" s="499"/>
      <c r="E21" s="499"/>
      <c r="F21" s="499"/>
      <c r="G21" s="499"/>
      <c r="H21" s="499"/>
      <c r="I21" s="499"/>
      <c r="J21" s="499"/>
      <c r="K21" s="499"/>
      <c r="L21" s="499"/>
      <c r="M21" s="499"/>
    </row>
    <row r="22" spans="1:13">
      <c r="A22" s="44" t="s">
        <v>73</v>
      </c>
      <c r="B22" s="47"/>
      <c r="C22" s="51"/>
      <c r="D22" s="51"/>
      <c r="E22" s="51"/>
      <c r="F22" s="51"/>
      <c r="G22" s="51"/>
      <c r="H22" s="51"/>
      <c r="I22" s="51"/>
      <c r="J22" s="51"/>
      <c r="K22" s="51"/>
      <c r="L22" s="51"/>
      <c r="M22" s="51"/>
    </row>
    <row r="23" spans="1:13">
      <c r="A23" s="47"/>
      <c r="B23" s="512" t="s">
        <v>74</v>
      </c>
      <c r="C23" s="513"/>
      <c r="D23" s="513"/>
      <c r="E23" s="513"/>
      <c r="F23" s="513"/>
      <c r="G23" s="513"/>
      <c r="H23" s="513"/>
      <c r="I23" s="513"/>
      <c r="J23" s="513"/>
      <c r="K23" s="513"/>
      <c r="L23" s="513"/>
      <c r="M23" s="513"/>
    </row>
    <row r="24" spans="1:13">
      <c r="A24" s="47"/>
      <c r="B24" s="56" t="s">
        <v>75</v>
      </c>
      <c r="C24" s="56"/>
      <c r="D24" s="56"/>
      <c r="E24" s="56"/>
      <c r="F24" s="56"/>
      <c r="G24" s="56"/>
      <c r="H24" s="56"/>
      <c r="I24" s="56"/>
      <c r="J24" s="56"/>
      <c r="K24" s="56"/>
      <c r="L24" s="56"/>
      <c r="M24" s="56"/>
    </row>
    <row r="25" spans="1:13">
      <c r="A25" s="47"/>
      <c r="B25" s="47" t="s">
        <v>46</v>
      </c>
      <c r="C25" s="514" t="s">
        <v>76</v>
      </c>
      <c r="D25" s="514"/>
      <c r="E25" s="514"/>
      <c r="F25" s="514"/>
      <c r="G25" s="514"/>
      <c r="H25" s="514"/>
      <c r="I25" s="514"/>
      <c r="J25" s="514"/>
      <c r="K25" s="514"/>
      <c r="L25" s="514"/>
      <c r="M25" s="514"/>
    </row>
    <row r="26" spans="1:13">
      <c r="A26" s="47"/>
      <c r="B26" s="47" t="s">
        <v>46</v>
      </c>
      <c r="C26" s="498" t="s">
        <v>72</v>
      </c>
      <c r="D26" s="499"/>
      <c r="E26" s="499"/>
      <c r="F26" s="499"/>
      <c r="G26" s="499"/>
      <c r="H26" s="499"/>
      <c r="I26" s="499"/>
      <c r="J26" s="499"/>
      <c r="K26" s="499"/>
      <c r="L26" s="499"/>
      <c r="M26" s="499"/>
    </row>
    <row r="27" spans="1:13">
      <c r="A27" s="47"/>
      <c r="B27" s="515" t="s">
        <v>77</v>
      </c>
      <c r="C27" s="515"/>
      <c r="D27" s="515"/>
      <c r="E27" s="515"/>
      <c r="F27" s="515"/>
      <c r="G27" s="515"/>
      <c r="H27" s="515"/>
      <c r="I27" s="515"/>
      <c r="J27" s="515"/>
      <c r="K27" s="515"/>
      <c r="L27" s="515"/>
      <c r="M27" s="515"/>
    </row>
    <row r="28" spans="1:13">
      <c r="A28" s="47"/>
      <c r="B28" s="47" t="s">
        <v>46</v>
      </c>
      <c r="C28" s="498" t="s">
        <v>78</v>
      </c>
      <c r="D28" s="499"/>
      <c r="E28" s="499"/>
      <c r="F28" s="499"/>
      <c r="G28" s="499"/>
      <c r="H28" s="499"/>
      <c r="I28" s="499"/>
      <c r="J28" s="499"/>
      <c r="K28" s="499"/>
      <c r="L28" s="499"/>
      <c r="M28" s="499"/>
    </row>
    <row r="29" spans="1:13">
      <c r="A29" s="47"/>
      <c r="B29" s="47" t="s">
        <v>46</v>
      </c>
      <c r="C29" s="498" t="s">
        <v>79</v>
      </c>
      <c r="D29" s="498"/>
      <c r="E29" s="498"/>
      <c r="F29" s="498"/>
      <c r="G29" s="498"/>
      <c r="H29" s="498"/>
      <c r="I29" s="498"/>
      <c r="J29" s="498"/>
      <c r="K29" s="498"/>
      <c r="L29" s="498"/>
      <c r="M29" s="498"/>
    </row>
    <row r="30" spans="1:13">
      <c r="A30" s="47"/>
      <c r="B30" s="47"/>
      <c r="C30" s="57" t="s">
        <v>46</v>
      </c>
      <c r="D30" s="498" t="s">
        <v>80</v>
      </c>
      <c r="E30" s="498"/>
      <c r="F30" s="498"/>
      <c r="G30" s="498"/>
      <c r="H30" s="498"/>
      <c r="I30" s="498"/>
      <c r="J30" s="498"/>
      <c r="K30" s="498"/>
      <c r="L30" s="498"/>
      <c r="M30" s="498"/>
    </row>
    <row r="31" spans="1:13">
      <c r="A31" s="47"/>
      <c r="B31" s="515" t="s">
        <v>81</v>
      </c>
      <c r="C31" s="515"/>
      <c r="D31" s="515"/>
      <c r="E31" s="515"/>
      <c r="F31" s="515"/>
      <c r="G31" s="515"/>
      <c r="H31" s="515"/>
      <c r="I31" s="515"/>
      <c r="J31" s="515"/>
      <c r="K31" s="515"/>
      <c r="L31" s="515"/>
      <c r="M31" s="515"/>
    </row>
    <row r="32" spans="1:13">
      <c r="A32" s="47"/>
      <c r="B32" s="47" t="s">
        <v>46</v>
      </c>
      <c r="C32" s="498" t="s">
        <v>82</v>
      </c>
      <c r="D32" s="499"/>
      <c r="E32" s="499"/>
      <c r="F32" s="499"/>
      <c r="G32" s="499"/>
      <c r="H32" s="499"/>
      <c r="I32" s="499"/>
      <c r="J32" s="499"/>
      <c r="K32" s="499"/>
      <c r="L32" s="499"/>
      <c r="M32" s="499"/>
    </row>
    <row r="33" spans="1:13">
      <c r="A33" s="47"/>
      <c r="B33" s="47" t="s">
        <v>46</v>
      </c>
      <c r="C33" s="498" t="s">
        <v>83</v>
      </c>
      <c r="D33" s="498"/>
      <c r="E33" s="498"/>
      <c r="F33" s="498"/>
      <c r="G33" s="498"/>
      <c r="H33" s="498"/>
      <c r="I33" s="498"/>
      <c r="J33" s="498"/>
      <c r="K33" s="498"/>
      <c r="L33" s="498"/>
      <c r="M33" s="498"/>
    </row>
    <row r="34" spans="1:13">
      <c r="A34" s="47"/>
      <c r="B34" s="515" t="s">
        <v>84</v>
      </c>
      <c r="C34" s="515"/>
      <c r="D34" s="515"/>
      <c r="E34" s="515"/>
      <c r="F34" s="515"/>
      <c r="G34" s="515"/>
      <c r="H34" s="515"/>
      <c r="I34" s="515"/>
      <c r="J34" s="515"/>
      <c r="K34" s="515"/>
      <c r="L34" s="515"/>
      <c r="M34" s="515"/>
    </row>
    <row r="35" spans="1:13">
      <c r="A35" s="47"/>
      <c r="B35" s="47" t="s">
        <v>46</v>
      </c>
      <c r="C35" s="498" t="s">
        <v>85</v>
      </c>
      <c r="D35" s="499"/>
      <c r="E35" s="499"/>
      <c r="F35" s="499"/>
      <c r="G35" s="499"/>
      <c r="H35" s="499"/>
      <c r="I35" s="499"/>
      <c r="J35" s="499"/>
      <c r="K35" s="499"/>
      <c r="L35" s="499"/>
      <c r="M35" s="499"/>
    </row>
    <row r="36" spans="1:13">
      <c r="A36" s="44" t="s">
        <v>86</v>
      </c>
      <c r="B36" s="47"/>
      <c r="C36" s="51"/>
      <c r="D36" s="51"/>
      <c r="E36" s="51"/>
      <c r="F36" s="51"/>
      <c r="G36" s="51"/>
      <c r="H36" s="51"/>
      <c r="I36" s="51"/>
      <c r="J36" s="51"/>
      <c r="K36" s="51"/>
      <c r="L36" s="51"/>
      <c r="M36" s="51"/>
    </row>
    <row r="37" spans="1:13">
      <c r="A37" s="47"/>
      <c r="B37" s="58" t="s">
        <v>87</v>
      </c>
      <c r="C37" s="59"/>
      <c r="D37" s="59"/>
      <c r="E37" s="59"/>
      <c r="F37" s="59"/>
      <c r="G37" s="59"/>
      <c r="H37" s="59"/>
      <c r="I37" s="59"/>
      <c r="J37" s="59"/>
      <c r="K37" s="59"/>
      <c r="L37" s="59"/>
      <c r="M37" s="59"/>
    </row>
    <row r="38" spans="1:13">
      <c r="A38" s="47"/>
      <c r="B38" s="47" t="s">
        <v>46</v>
      </c>
      <c r="C38" s="498" t="s">
        <v>88</v>
      </c>
      <c r="D38" s="498"/>
      <c r="E38" s="498"/>
      <c r="F38" s="498"/>
      <c r="G38" s="498"/>
      <c r="H38" s="498"/>
      <c r="I38" s="498"/>
      <c r="J38" s="498"/>
      <c r="K38" s="498"/>
      <c r="L38" s="498"/>
      <c r="M38" s="498"/>
    </row>
    <row r="39" spans="1:13">
      <c r="A39" s="47"/>
      <c r="B39" s="515" t="s">
        <v>89</v>
      </c>
      <c r="C39" s="515"/>
      <c r="D39" s="515"/>
      <c r="E39" s="515"/>
      <c r="F39" s="515"/>
      <c r="G39" s="515"/>
      <c r="H39" s="515"/>
      <c r="I39" s="515"/>
      <c r="J39" s="515"/>
      <c r="K39" s="515"/>
      <c r="L39" s="515"/>
      <c r="M39" s="515"/>
    </row>
    <row r="40" spans="1:13">
      <c r="A40" s="47"/>
      <c r="B40" s="57" t="s">
        <v>46</v>
      </c>
      <c r="C40" s="498" t="s">
        <v>90</v>
      </c>
      <c r="D40" s="499"/>
      <c r="E40" s="499"/>
      <c r="F40" s="499"/>
      <c r="G40" s="499"/>
      <c r="H40" s="499"/>
      <c r="I40" s="499"/>
      <c r="J40" s="499"/>
      <c r="K40" s="499"/>
      <c r="L40" s="499"/>
      <c r="M40" s="499"/>
    </row>
    <row r="41" spans="1:13">
      <c r="A41" s="44" t="s">
        <v>91</v>
      </c>
      <c r="B41" s="57"/>
      <c r="C41" s="51"/>
      <c r="D41" s="52"/>
      <c r="E41" s="52"/>
      <c r="F41" s="52"/>
      <c r="G41" s="52"/>
      <c r="H41" s="52"/>
      <c r="I41" s="52"/>
      <c r="J41" s="52"/>
      <c r="K41" s="52"/>
      <c r="L41" s="52"/>
      <c r="M41" s="52"/>
    </row>
    <row r="42" spans="1:13">
      <c r="A42" s="47"/>
      <c r="B42" s="498" t="s">
        <v>92</v>
      </c>
      <c r="C42" s="498"/>
      <c r="D42" s="498"/>
      <c r="E42" s="498"/>
      <c r="F42" s="498"/>
      <c r="G42" s="498"/>
      <c r="H42" s="498"/>
      <c r="I42" s="498"/>
      <c r="J42" s="498"/>
      <c r="K42" s="498"/>
      <c r="L42" s="498"/>
      <c r="M42" s="498"/>
    </row>
    <row r="43" spans="1:13">
      <c r="A43" s="44" t="s">
        <v>43</v>
      </c>
      <c r="B43" s="45"/>
      <c r="C43" s="45"/>
      <c r="D43" s="45"/>
      <c r="E43" s="45"/>
      <c r="F43" s="45"/>
      <c r="G43" s="45"/>
      <c r="H43" s="45"/>
      <c r="I43" s="45"/>
      <c r="J43" s="45"/>
      <c r="K43" s="45"/>
      <c r="L43" s="45"/>
      <c r="M43" s="45"/>
    </row>
    <row r="44" spans="1:13">
      <c r="A44" s="516" t="s">
        <v>44</v>
      </c>
      <c r="B44" s="516"/>
      <c r="C44" s="516"/>
      <c r="D44" s="516"/>
      <c r="E44" s="516"/>
      <c r="F44" s="516"/>
      <c r="G44" s="516"/>
      <c r="H44" s="516"/>
      <c r="I44" s="516"/>
      <c r="J44" s="516"/>
      <c r="K44" s="516"/>
      <c r="L44" s="516"/>
      <c r="M44" s="516"/>
    </row>
    <row r="45" spans="1:13">
      <c r="A45" s="45"/>
      <c r="B45" s="45"/>
      <c r="C45" s="45"/>
      <c r="D45" s="45"/>
      <c r="E45" s="45"/>
      <c r="F45" s="45"/>
      <c r="G45" s="45"/>
      <c r="H45" s="45"/>
      <c r="I45" s="45"/>
      <c r="J45" s="45"/>
      <c r="K45" s="45"/>
      <c r="L45" s="45"/>
      <c r="M45" s="45"/>
    </row>
    <row r="46" spans="1:13">
      <c r="A46" s="46" t="s">
        <v>45</v>
      </c>
      <c r="B46" s="45"/>
      <c r="C46" s="45"/>
      <c r="D46" s="45"/>
      <c r="E46" s="45"/>
      <c r="F46" s="45"/>
      <c r="G46" s="45"/>
      <c r="H46" s="45"/>
      <c r="I46" s="45"/>
      <c r="J46" s="45"/>
      <c r="K46" s="45"/>
      <c r="L46" s="45"/>
      <c r="M46" s="45"/>
    </row>
    <row r="47" spans="1:13">
      <c r="A47" s="47" t="s">
        <v>46</v>
      </c>
      <c r="B47" s="498" t="s">
        <v>47</v>
      </c>
      <c r="C47" s="499"/>
      <c r="D47" s="499"/>
      <c r="E47" s="499"/>
      <c r="F47" s="499"/>
      <c r="G47" s="499"/>
      <c r="H47" s="499"/>
      <c r="I47" s="499"/>
      <c r="J47" s="499"/>
      <c r="K47" s="499"/>
      <c r="L47" s="499"/>
      <c r="M47" s="499"/>
    </row>
    <row r="48" spans="1:13">
      <c r="A48" s="47" t="s">
        <v>46</v>
      </c>
      <c r="B48" s="498" t="s">
        <v>48</v>
      </c>
      <c r="C48" s="499"/>
      <c r="D48" s="499"/>
      <c r="E48" s="499"/>
      <c r="F48" s="499"/>
      <c r="G48" s="499"/>
      <c r="H48" s="499"/>
      <c r="I48" s="499"/>
      <c r="J48" s="499"/>
      <c r="K48" s="499"/>
      <c r="L48" s="499"/>
      <c r="M48" s="499"/>
    </row>
    <row r="49" spans="1:13">
      <c r="A49" s="47" t="s">
        <v>46</v>
      </c>
      <c r="B49" s="498" t="s">
        <v>49</v>
      </c>
      <c r="C49" s="499"/>
      <c r="D49" s="499"/>
      <c r="E49" s="499"/>
      <c r="F49" s="499"/>
      <c r="G49" s="499"/>
      <c r="H49" s="499"/>
      <c r="I49" s="499"/>
      <c r="J49" s="499"/>
      <c r="K49" s="499"/>
      <c r="L49" s="499"/>
      <c r="M49" s="499"/>
    </row>
    <row r="50" spans="1:13">
      <c r="A50" s="47" t="s">
        <v>46</v>
      </c>
      <c r="B50" s="498" t="s">
        <v>50</v>
      </c>
      <c r="C50" s="499"/>
      <c r="D50" s="499"/>
      <c r="E50" s="499"/>
      <c r="F50" s="499"/>
      <c r="G50" s="499"/>
      <c r="H50" s="499"/>
      <c r="I50" s="499"/>
      <c r="J50" s="499"/>
      <c r="K50" s="499"/>
      <c r="L50" s="499"/>
      <c r="M50" s="499"/>
    </row>
    <row r="51" spans="1:13">
      <c r="A51" s="47" t="s">
        <v>46</v>
      </c>
      <c r="B51" s="498" t="s">
        <v>51</v>
      </c>
      <c r="C51" s="499"/>
      <c r="D51" s="499"/>
      <c r="E51" s="499"/>
      <c r="F51" s="499"/>
      <c r="G51" s="499"/>
      <c r="H51" s="499"/>
      <c r="I51" s="499"/>
      <c r="J51" s="499"/>
      <c r="K51" s="499"/>
      <c r="L51" s="499"/>
      <c r="M51" s="499"/>
    </row>
    <row r="52" spans="1:13">
      <c r="A52" s="45"/>
      <c r="B52" s="45"/>
      <c r="C52" s="45"/>
      <c r="D52" s="45"/>
      <c r="E52" s="45"/>
      <c r="F52" s="45"/>
      <c r="G52" s="45"/>
      <c r="H52" s="45"/>
      <c r="I52" s="45"/>
      <c r="J52" s="45"/>
      <c r="K52" s="45"/>
      <c r="L52" s="45"/>
      <c r="M52" s="45"/>
    </row>
    <row r="53" spans="1:13">
      <c r="A53" s="46" t="s">
        <v>52</v>
      </c>
      <c r="B53" s="48"/>
      <c r="C53" s="48"/>
      <c r="D53" s="48"/>
      <c r="E53" s="48"/>
      <c r="F53" s="48"/>
      <c r="G53" s="48"/>
      <c r="H53" s="48"/>
      <c r="I53" s="48"/>
      <c r="J53" s="48"/>
      <c r="K53" s="48"/>
      <c r="L53" s="48"/>
      <c r="M53" s="48"/>
    </row>
    <row r="54" spans="1:13">
      <c r="A54" s="47" t="s">
        <v>46</v>
      </c>
      <c r="B54" s="498" t="s">
        <v>53</v>
      </c>
      <c r="C54" s="498"/>
      <c r="D54" s="498"/>
      <c r="E54" s="498"/>
      <c r="F54" s="498"/>
      <c r="G54" s="498"/>
      <c r="H54" s="498"/>
      <c r="I54" s="498"/>
      <c r="J54" s="498"/>
      <c r="K54" s="498"/>
      <c r="L54" s="498"/>
      <c r="M54" s="498"/>
    </row>
    <row r="55" spans="1:13">
      <c r="A55" s="47" t="s">
        <v>46</v>
      </c>
      <c r="B55" s="517" t="s">
        <v>54</v>
      </c>
      <c r="C55" s="517"/>
      <c r="D55" s="517"/>
      <c r="E55" s="517"/>
      <c r="F55" s="517"/>
      <c r="G55" s="517"/>
      <c r="H55" s="517"/>
      <c r="I55" s="517"/>
      <c r="J55" s="517"/>
      <c r="K55" s="517"/>
      <c r="L55" s="517"/>
      <c r="M55" s="517"/>
    </row>
    <row r="56" spans="1:13">
      <c r="A56" s="47" t="s">
        <v>46</v>
      </c>
      <c r="B56" s="517" t="s">
        <v>55</v>
      </c>
      <c r="C56" s="517"/>
      <c r="D56" s="517"/>
      <c r="E56" s="517"/>
      <c r="F56" s="517"/>
      <c r="G56" s="517"/>
      <c r="H56" s="517"/>
      <c r="I56" s="517"/>
      <c r="J56" s="517"/>
      <c r="K56" s="517"/>
      <c r="L56" s="517"/>
      <c r="M56" s="517"/>
    </row>
    <row r="57" spans="1:13">
      <c r="A57" s="47" t="s">
        <v>46</v>
      </c>
      <c r="B57" s="517" t="s">
        <v>56</v>
      </c>
      <c r="C57" s="517"/>
      <c r="D57" s="517"/>
      <c r="E57" s="517"/>
      <c r="F57" s="517"/>
      <c r="G57" s="517"/>
      <c r="H57" s="517"/>
      <c r="I57" s="517"/>
      <c r="J57" s="517"/>
      <c r="K57" s="517"/>
      <c r="L57" s="517"/>
      <c r="M57" s="517"/>
    </row>
    <row r="58" spans="1:13">
      <c r="A58" s="47" t="s">
        <v>46</v>
      </c>
      <c r="B58" s="517" t="s">
        <v>57</v>
      </c>
      <c r="C58" s="517"/>
      <c r="D58" s="517"/>
      <c r="E58" s="517"/>
      <c r="F58" s="517"/>
      <c r="G58" s="517"/>
      <c r="H58" s="517"/>
      <c r="I58" s="517"/>
      <c r="J58" s="517"/>
      <c r="K58" s="517"/>
      <c r="L58" s="517"/>
      <c r="M58" s="517"/>
    </row>
    <row r="59" spans="1:13">
      <c r="A59" s="45"/>
      <c r="B59" s="49"/>
      <c r="C59" s="45"/>
      <c r="D59" s="45"/>
      <c r="E59" s="45"/>
      <c r="F59" s="45"/>
      <c r="G59" s="45"/>
      <c r="H59" s="45"/>
      <c r="I59" s="45"/>
      <c r="J59" s="45"/>
      <c r="K59" s="45"/>
      <c r="L59" s="45"/>
      <c r="M59" s="45"/>
    </row>
    <row r="60" spans="1:13">
      <c r="A60" s="45"/>
      <c r="B60" s="49"/>
      <c r="C60" s="45"/>
      <c r="D60" s="45"/>
      <c r="E60" s="45"/>
      <c r="F60" s="45"/>
      <c r="G60" s="45"/>
      <c r="H60" s="45"/>
      <c r="I60" s="45"/>
      <c r="J60" s="45"/>
      <c r="K60" s="45"/>
      <c r="L60" s="45"/>
      <c r="M60" s="45"/>
    </row>
    <row r="61" spans="1:13">
      <c r="A61" s="45"/>
      <c r="B61" s="50"/>
      <c r="C61" s="45"/>
      <c r="D61" s="45"/>
      <c r="E61" s="45"/>
      <c r="F61" s="45"/>
      <c r="G61" s="45"/>
      <c r="H61" s="45"/>
      <c r="I61" s="45"/>
      <c r="J61" s="45"/>
      <c r="K61" s="45"/>
      <c r="L61" s="45"/>
      <c r="M61" s="45"/>
    </row>
    <row r="62" spans="1:13">
      <c r="A62" s="45"/>
      <c r="B62" s="45"/>
      <c r="C62" s="45"/>
      <c r="D62" s="45"/>
      <c r="E62" s="45"/>
      <c r="F62" s="45"/>
      <c r="G62" s="45"/>
      <c r="H62" s="45"/>
      <c r="I62" s="45"/>
      <c r="J62" s="45"/>
      <c r="K62" s="45"/>
      <c r="L62" s="45"/>
      <c r="M62" s="45"/>
    </row>
    <row r="63" spans="1:13">
      <c r="A63" s="45"/>
      <c r="B63" s="45"/>
      <c r="C63" s="45"/>
      <c r="D63" s="45"/>
      <c r="E63" s="45"/>
      <c r="F63" s="45"/>
      <c r="G63" s="45"/>
      <c r="H63" s="45"/>
      <c r="I63" s="45"/>
      <c r="J63" s="45"/>
      <c r="K63" s="45"/>
      <c r="L63" s="45"/>
      <c r="M63" s="45"/>
    </row>
  </sheetData>
  <mergeCells count="39">
    <mergeCell ref="B56:M56"/>
    <mergeCell ref="B57:M57"/>
    <mergeCell ref="B58:M58"/>
    <mergeCell ref="B48:M48"/>
    <mergeCell ref="B49:M49"/>
    <mergeCell ref="B50:M50"/>
    <mergeCell ref="B51:M51"/>
    <mergeCell ref="B54:M54"/>
    <mergeCell ref="B55:M55"/>
    <mergeCell ref="B47:M47"/>
    <mergeCell ref="D30:M30"/>
    <mergeCell ref="B31:M31"/>
    <mergeCell ref="C32:M32"/>
    <mergeCell ref="C33:M33"/>
    <mergeCell ref="B34:M34"/>
    <mergeCell ref="C35:M35"/>
    <mergeCell ref="C38:M38"/>
    <mergeCell ref="B39:M39"/>
    <mergeCell ref="C40:M40"/>
    <mergeCell ref="B42:M42"/>
    <mergeCell ref="A44:M44"/>
    <mergeCell ref="C29:M29"/>
    <mergeCell ref="C15:M15"/>
    <mergeCell ref="C16:M16"/>
    <mergeCell ref="B18:M18"/>
    <mergeCell ref="C19:M19"/>
    <mergeCell ref="C20:M20"/>
    <mergeCell ref="C21:M21"/>
    <mergeCell ref="B23:M23"/>
    <mergeCell ref="C25:M25"/>
    <mergeCell ref="C26:M26"/>
    <mergeCell ref="B27:M27"/>
    <mergeCell ref="C28:M28"/>
    <mergeCell ref="C14:M14"/>
    <mergeCell ref="B13:M13"/>
    <mergeCell ref="A1:M3"/>
    <mergeCell ref="A4:M4"/>
    <mergeCell ref="A6:M6"/>
    <mergeCell ref="A8:M8"/>
  </mergeCells>
  <pageMargins left="0.7" right="0.7" top="0.75" bottom="0.75" header="0.3" footer="0.3"/>
  <pageSetup scale="7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7"/>
  <sheetViews>
    <sheetView topLeftCell="A449" workbookViewId="0">
      <selection activeCell="O441" sqref="O441"/>
    </sheetView>
  </sheetViews>
  <sheetFormatPr defaultRowHeight="15"/>
  <cols>
    <col min="1" max="1" width="3.7109375" customWidth="1"/>
    <col min="2" max="2" width="16.42578125" customWidth="1"/>
    <col min="3" max="3" width="16.7109375" customWidth="1"/>
    <col min="4" max="4" width="15.85546875" customWidth="1"/>
    <col min="5" max="5" width="14.5703125" hidden="1" customWidth="1"/>
    <col min="6" max="6" width="16.5703125" customWidth="1"/>
    <col min="7" max="7" width="3.140625" customWidth="1"/>
    <col min="8" max="8" width="11" customWidth="1"/>
    <col min="9" max="9" width="3.140625" customWidth="1"/>
    <col min="10" max="10" width="11.85546875" customWidth="1"/>
    <col min="11" max="11" width="8.42578125" customWidth="1"/>
    <col min="12" max="12" width="8.5703125" bestFit="1" customWidth="1"/>
    <col min="13" max="13" width="15.140625" customWidth="1"/>
    <col min="14" max="14" width="3.7109375" customWidth="1"/>
    <col min="15" max="15" width="9.140625" customWidth="1"/>
    <col min="16" max="16" width="19.85546875" customWidth="1"/>
    <col min="17" max="17" width="11.28515625" customWidth="1"/>
  </cols>
  <sheetData>
    <row r="1" spans="1:14" hidden="1"/>
    <row r="2" spans="1:14" ht="14.25" customHeight="1">
      <c r="J2" s="632" t="s">
        <v>0</v>
      </c>
      <c r="K2" s="551"/>
      <c r="L2" s="551"/>
      <c r="M2" s="551"/>
    </row>
    <row r="3" spans="1:14">
      <c r="J3" s="551"/>
      <c r="K3" s="551"/>
      <c r="L3" s="551"/>
      <c r="M3" s="551"/>
    </row>
    <row r="4" spans="1:14" ht="15.75" thickBot="1">
      <c r="A4" s="1"/>
      <c r="B4" s="1"/>
      <c r="C4" s="1"/>
      <c r="D4" s="1"/>
      <c r="E4" s="1"/>
      <c r="F4" s="1"/>
      <c r="G4" s="1"/>
      <c r="H4" s="1"/>
      <c r="I4" s="1"/>
      <c r="J4" s="633"/>
      <c r="K4" s="633"/>
      <c r="L4" s="633"/>
      <c r="M4" s="633"/>
    </row>
    <row r="5" spans="1:14" ht="30" customHeight="1" thickTop="1" thickBot="1">
      <c r="A5" s="634" t="s">
        <v>1499</v>
      </c>
      <c r="B5" s="635"/>
      <c r="C5" s="635"/>
      <c r="D5" s="635"/>
      <c r="E5" s="635"/>
      <c r="F5" s="635"/>
      <c r="G5" s="635"/>
      <c r="H5" s="635"/>
      <c r="I5" s="635"/>
      <c r="J5" s="635"/>
      <c r="K5" s="635"/>
      <c r="L5" s="635"/>
      <c r="M5" s="636"/>
      <c r="N5" s="35"/>
    </row>
    <row r="6" spans="1:14">
      <c r="A6" s="637" t="s">
        <v>1</v>
      </c>
      <c r="B6" s="639" t="s">
        <v>2</v>
      </c>
      <c r="C6" s="640"/>
      <c r="D6" s="640"/>
      <c r="E6" s="640"/>
      <c r="F6" s="640"/>
      <c r="G6" s="640"/>
      <c r="H6" s="640"/>
      <c r="I6" s="640"/>
      <c r="J6" s="641"/>
      <c r="K6" s="2" t="s">
        <v>3</v>
      </c>
      <c r="L6" s="2" t="s">
        <v>4</v>
      </c>
      <c r="M6" s="26" t="s">
        <v>5</v>
      </c>
      <c r="N6" s="35"/>
    </row>
    <row r="7" spans="1:14" ht="15.75" thickBot="1">
      <c r="A7" s="637"/>
      <c r="B7" s="642"/>
      <c r="C7" s="643"/>
      <c r="D7" s="643"/>
      <c r="E7" s="643"/>
      <c r="F7" s="643"/>
      <c r="G7" s="643"/>
      <c r="H7" s="643"/>
      <c r="I7" s="643"/>
      <c r="J7" s="644"/>
      <c r="K7" s="3">
        <v>1</v>
      </c>
      <c r="L7" s="4">
        <v>4</v>
      </c>
      <c r="M7" s="5">
        <v>2018</v>
      </c>
      <c r="N7" s="37"/>
    </row>
    <row r="8" spans="1:14" ht="27.75" customHeight="1" thickTop="1" thickBot="1">
      <c r="A8" s="637"/>
      <c r="B8" s="674" t="s">
        <v>6</v>
      </c>
      <c r="C8" s="675"/>
      <c r="D8" s="675"/>
      <c r="E8" s="675"/>
      <c r="F8" s="675"/>
      <c r="G8" s="675"/>
      <c r="H8" s="675"/>
      <c r="I8" s="675"/>
      <c r="J8" s="675"/>
      <c r="K8" s="675"/>
      <c r="L8" s="675"/>
      <c r="M8" s="676"/>
      <c r="N8" s="38"/>
    </row>
    <row r="9" spans="1:14" ht="18">
      <c r="A9" s="637"/>
      <c r="B9" s="645" t="s">
        <v>93</v>
      </c>
      <c r="C9" s="646"/>
      <c r="D9" s="646"/>
      <c r="E9" s="646"/>
      <c r="F9" s="647"/>
      <c r="G9" s="677"/>
      <c r="H9" s="652" t="s">
        <v>132</v>
      </c>
      <c r="I9" s="680" t="s">
        <v>42</v>
      </c>
      <c r="J9" s="654" t="s">
        <v>133</v>
      </c>
      <c r="K9" s="617"/>
      <c r="L9" s="622" t="s">
        <v>15</v>
      </c>
      <c r="M9" s="623"/>
      <c r="N9" s="35"/>
    </row>
    <row r="10" spans="1:14" ht="15.75">
      <c r="A10" s="637"/>
      <c r="B10" s="648"/>
      <c r="C10" s="537"/>
      <c r="D10" s="537"/>
      <c r="E10" s="537"/>
      <c r="F10" s="649"/>
      <c r="G10" s="678"/>
      <c r="H10" s="653"/>
      <c r="I10" s="681"/>
      <c r="J10" s="655"/>
      <c r="K10" s="618"/>
      <c r="L10" s="624"/>
      <c r="M10" s="625"/>
      <c r="N10" s="35"/>
    </row>
    <row r="11" spans="1:14" ht="39.75" thickBot="1">
      <c r="A11" s="637"/>
      <c r="B11" s="6" t="s">
        <v>7</v>
      </c>
      <c r="C11" s="7" t="s">
        <v>94</v>
      </c>
      <c r="D11" s="650" t="s">
        <v>95</v>
      </c>
      <c r="E11" s="650"/>
      <c r="F11" s="651"/>
      <c r="G11" s="679"/>
      <c r="H11" s="653"/>
      <c r="I11" s="682"/>
      <c r="J11" s="656"/>
      <c r="K11" s="619"/>
      <c r="L11" s="626"/>
      <c r="M11" s="627"/>
      <c r="N11" s="35"/>
    </row>
    <row r="12" spans="1:14" ht="15.75" thickTop="1">
      <c r="A12" s="637"/>
      <c r="B12" s="657" t="s">
        <v>8</v>
      </c>
      <c r="C12" s="659" t="s">
        <v>9</v>
      </c>
      <c r="D12" s="661" t="s">
        <v>10</v>
      </c>
      <c r="E12" s="663" t="s">
        <v>11</v>
      </c>
      <c r="F12" s="664"/>
      <c r="G12" s="667" t="s">
        <v>12</v>
      </c>
      <c r="H12" s="668"/>
      <c r="I12" s="669"/>
      <c r="J12" s="659" t="s">
        <v>13</v>
      </c>
      <c r="K12" s="620" t="s">
        <v>14</v>
      </c>
      <c r="L12" s="628" t="s">
        <v>16</v>
      </c>
      <c r="M12" s="630" t="s">
        <v>17</v>
      </c>
      <c r="N12" s="35"/>
    </row>
    <row r="13" spans="1:14" ht="33.75" customHeight="1" thickBot="1">
      <c r="A13" s="638"/>
      <c r="B13" s="658"/>
      <c r="C13" s="660"/>
      <c r="D13" s="662"/>
      <c r="E13" s="665"/>
      <c r="F13" s="666"/>
      <c r="G13" s="670"/>
      <c r="H13" s="671"/>
      <c r="I13" s="672"/>
      <c r="J13" s="673"/>
      <c r="K13" s="621"/>
      <c r="L13" s="629"/>
      <c r="M13" s="631"/>
      <c r="N13" s="35"/>
    </row>
    <row r="14" spans="1:14" ht="24" thickTop="1" thickBot="1">
      <c r="A14" s="613" t="s">
        <v>18</v>
      </c>
      <c r="B14" s="33" t="s">
        <v>19</v>
      </c>
      <c r="C14" s="33" t="s">
        <v>20</v>
      </c>
      <c r="D14" s="33" t="s">
        <v>21</v>
      </c>
      <c r="E14" s="542" t="s">
        <v>22</v>
      </c>
      <c r="F14" s="542"/>
      <c r="G14" s="523" t="s">
        <v>12</v>
      </c>
      <c r="H14" s="528"/>
      <c r="I14" s="8"/>
      <c r="J14" s="29"/>
      <c r="K14" s="29"/>
      <c r="L14" s="29"/>
      <c r="M14" s="28"/>
      <c r="N14" s="35"/>
    </row>
    <row r="15" spans="1:14" ht="23.25" thickBot="1">
      <c r="A15" s="614"/>
      <c r="B15" s="9" t="s">
        <v>23</v>
      </c>
      <c r="C15" s="9" t="s">
        <v>24</v>
      </c>
      <c r="D15" s="10">
        <v>40766</v>
      </c>
      <c r="E15" s="11"/>
      <c r="F15" s="12" t="s">
        <v>25</v>
      </c>
      <c r="G15" s="607" t="s">
        <v>26</v>
      </c>
      <c r="H15" s="608"/>
      <c r="I15" s="609"/>
      <c r="J15" s="13" t="s">
        <v>27</v>
      </c>
      <c r="K15" s="14"/>
      <c r="L15" s="15" t="s">
        <v>28</v>
      </c>
      <c r="M15" s="31">
        <v>280</v>
      </c>
      <c r="N15" s="35"/>
    </row>
    <row r="16" spans="1:14" ht="23.25" thickBot="1">
      <c r="A16" s="614"/>
      <c r="B16" s="34" t="s">
        <v>29</v>
      </c>
      <c r="C16" s="34" t="s">
        <v>30</v>
      </c>
      <c r="D16" s="34" t="s">
        <v>31</v>
      </c>
      <c r="E16" s="616" t="s">
        <v>32</v>
      </c>
      <c r="F16" s="616"/>
      <c r="G16" s="610"/>
      <c r="H16" s="611"/>
      <c r="I16" s="612"/>
      <c r="J16" s="16" t="s">
        <v>33</v>
      </c>
      <c r="K16" s="15" t="s">
        <v>28</v>
      </c>
      <c r="L16" s="17"/>
      <c r="M16" s="32">
        <v>825</v>
      </c>
      <c r="N16" s="35"/>
    </row>
    <row r="17" spans="1:14" ht="15.75" thickBot="1">
      <c r="A17" s="615"/>
      <c r="B17" s="18" t="s">
        <v>34</v>
      </c>
      <c r="C17" s="18" t="s">
        <v>35</v>
      </c>
      <c r="D17" s="471">
        <v>40767</v>
      </c>
      <c r="E17" s="19" t="s">
        <v>36</v>
      </c>
      <c r="F17" s="472" t="s">
        <v>37</v>
      </c>
      <c r="G17" s="539"/>
      <c r="H17" s="540"/>
      <c r="I17" s="541"/>
      <c r="J17" s="473" t="s">
        <v>38</v>
      </c>
      <c r="K17" s="474"/>
      <c r="L17" s="474" t="s">
        <v>28</v>
      </c>
      <c r="M17" s="27">
        <v>120</v>
      </c>
      <c r="N17" s="35"/>
    </row>
    <row r="18" spans="1:14" s="152" customFormat="1" ht="34.5" thickTop="1">
      <c r="A18" s="149">
        <f>1</f>
        <v>1</v>
      </c>
      <c r="B18" s="9" t="s">
        <v>147</v>
      </c>
      <c r="C18" s="9" t="s">
        <v>148</v>
      </c>
      <c r="D18" s="10">
        <v>43174</v>
      </c>
      <c r="E18" s="11"/>
      <c r="F18" s="12" t="s">
        <v>149</v>
      </c>
      <c r="G18" s="607" t="s">
        <v>237</v>
      </c>
      <c r="H18" s="608"/>
      <c r="I18" s="609"/>
      <c r="J18" s="13" t="s">
        <v>27</v>
      </c>
      <c r="K18" s="14"/>
      <c r="L18" s="15" t="s">
        <v>28</v>
      </c>
      <c r="M18" s="31">
        <v>476.1</v>
      </c>
      <c r="N18" s="160"/>
    </row>
    <row r="19" spans="1:14" s="152" customFormat="1" ht="22.5">
      <c r="A19" s="163"/>
      <c r="B19" s="162" t="s">
        <v>29</v>
      </c>
      <c r="C19" s="162" t="s">
        <v>30</v>
      </c>
      <c r="D19" s="162" t="s">
        <v>31</v>
      </c>
      <c r="E19" s="616" t="s">
        <v>32</v>
      </c>
      <c r="F19" s="616"/>
      <c r="G19" s="610"/>
      <c r="H19" s="611"/>
      <c r="I19" s="612"/>
      <c r="J19" s="16" t="s">
        <v>33</v>
      </c>
      <c r="K19" s="15"/>
      <c r="L19" s="17" t="s">
        <v>42</v>
      </c>
      <c r="M19" s="32">
        <v>357.51</v>
      </c>
      <c r="N19" s="160"/>
    </row>
    <row r="20" spans="1:14" s="152" customFormat="1" ht="23.25" thickBot="1">
      <c r="A20" s="163"/>
      <c r="B20" s="18" t="s">
        <v>238</v>
      </c>
      <c r="C20" s="18" t="s">
        <v>152</v>
      </c>
      <c r="D20" s="10">
        <v>43177</v>
      </c>
      <c r="E20" s="19" t="s">
        <v>36</v>
      </c>
      <c r="F20" s="12" t="s">
        <v>239</v>
      </c>
      <c r="G20" s="539"/>
      <c r="H20" s="540"/>
      <c r="I20" s="541"/>
      <c r="J20" s="20" t="s">
        <v>38</v>
      </c>
      <c r="K20" s="21"/>
      <c r="L20" s="21" t="s">
        <v>42</v>
      </c>
      <c r="M20" s="27">
        <v>475</v>
      </c>
      <c r="N20" s="160"/>
    </row>
    <row r="21" spans="1:14" s="152" customFormat="1" ht="23.25" thickTop="1">
      <c r="A21" s="518">
        <f>A20+2</f>
        <v>2</v>
      </c>
      <c r="B21" s="150" t="s">
        <v>19</v>
      </c>
      <c r="C21" s="150" t="s">
        <v>20</v>
      </c>
      <c r="D21" s="150" t="s">
        <v>21</v>
      </c>
      <c r="E21" s="523" t="s">
        <v>22</v>
      </c>
      <c r="F21" s="523"/>
      <c r="G21" s="565" t="s">
        <v>12</v>
      </c>
      <c r="H21" s="566"/>
      <c r="I21" s="567"/>
      <c r="J21" s="126" t="s">
        <v>39</v>
      </c>
      <c r="K21" s="127"/>
      <c r="L21" s="127"/>
      <c r="M21" s="137"/>
    </row>
    <row r="22" spans="1:14" s="152" customFormat="1" ht="15" customHeight="1">
      <c r="A22" s="598"/>
      <c r="B22" s="128" t="s">
        <v>240</v>
      </c>
      <c r="C22" s="128" t="s">
        <v>241</v>
      </c>
      <c r="D22" s="129">
        <v>43312</v>
      </c>
      <c r="E22" s="128"/>
      <c r="F22" s="128" t="s">
        <v>144</v>
      </c>
      <c r="G22" s="524" t="s">
        <v>175</v>
      </c>
      <c r="H22" s="585"/>
      <c r="I22" s="586"/>
      <c r="J22" s="130" t="s">
        <v>171</v>
      </c>
      <c r="K22" s="130"/>
      <c r="L22" s="130" t="s">
        <v>28</v>
      </c>
      <c r="M22" s="65">
        <v>475</v>
      </c>
    </row>
    <row r="23" spans="1:14" s="152" customFormat="1" ht="22.5">
      <c r="A23" s="598"/>
      <c r="B23" s="153" t="s">
        <v>29</v>
      </c>
      <c r="C23" s="153" t="s">
        <v>30</v>
      </c>
      <c r="D23" s="153" t="s">
        <v>31</v>
      </c>
      <c r="E23" s="580" t="s">
        <v>32</v>
      </c>
      <c r="F23" s="581"/>
      <c r="G23" s="529"/>
      <c r="H23" s="530"/>
      <c r="I23" s="531"/>
      <c r="J23" s="131" t="s">
        <v>108</v>
      </c>
      <c r="K23" s="132"/>
      <c r="L23" s="132" t="s">
        <v>28</v>
      </c>
      <c r="M23" s="80">
        <v>240</v>
      </c>
    </row>
    <row r="24" spans="1:14" s="152" customFormat="1" ht="23.25" thickBot="1">
      <c r="A24" s="599"/>
      <c r="B24" s="133" t="s">
        <v>242</v>
      </c>
      <c r="C24" s="133" t="s">
        <v>175</v>
      </c>
      <c r="D24" s="144">
        <v>43312</v>
      </c>
      <c r="E24" s="135" t="s">
        <v>36</v>
      </c>
      <c r="F24" s="136" t="s">
        <v>243</v>
      </c>
      <c r="G24" s="582"/>
      <c r="H24" s="583"/>
      <c r="I24" s="584"/>
      <c r="J24" s="131" t="s">
        <v>157</v>
      </c>
      <c r="K24" s="132" t="s">
        <v>28</v>
      </c>
      <c r="L24" s="132"/>
      <c r="M24" s="80">
        <v>152.15</v>
      </c>
    </row>
    <row r="25" spans="1:14" s="178" customFormat="1" ht="24" customHeight="1" thickTop="1" thickBot="1">
      <c r="A25" s="600">
        <f>A24+3</f>
        <v>3</v>
      </c>
      <c r="B25" s="111" t="s">
        <v>19</v>
      </c>
      <c r="C25" s="111" t="s">
        <v>20</v>
      </c>
      <c r="D25" s="111" t="s">
        <v>21</v>
      </c>
      <c r="E25" s="602" t="s">
        <v>22</v>
      </c>
      <c r="F25" s="603"/>
      <c r="G25" s="602" t="s">
        <v>12</v>
      </c>
      <c r="H25" s="604"/>
      <c r="I25" s="174"/>
      <c r="J25" s="175" t="s">
        <v>39</v>
      </c>
      <c r="K25" s="176"/>
      <c r="L25" s="176"/>
      <c r="M25" s="177"/>
    </row>
    <row r="26" spans="1:14" s="178" customFormat="1" ht="15.75" customHeight="1" thickBot="1">
      <c r="A26" s="601"/>
      <c r="B26" s="89" t="s">
        <v>244</v>
      </c>
      <c r="C26" s="89" t="s">
        <v>245</v>
      </c>
      <c r="D26" s="129">
        <v>43368</v>
      </c>
      <c r="E26" s="89"/>
      <c r="F26" s="89" t="s">
        <v>246</v>
      </c>
      <c r="G26" s="524" t="s">
        <v>247</v>
      </c>
      <c r="H26" s="585"/>
      <c r="I26" s="586"/>
      <c r="J26" s="179" t="s">
        <v>27</v>
      </c>
      <c r="K26" s="179"/>
      <c r="L26" s="179" t="s">
        <v>28</v>
      </c>
      <c r="M26" s="180">
        <v>400</v>
      </c>
    </row>
    <row r="27" spans="1:14" s="178" customFormat="1" ht="23.25" thickBot="1">
      <c r="A27" s="601"/>
      <c r="B27" s="181" t="s">
        <v>29</v>
      </c>
      <c r="C27" s="181" t="s">
        <v>30</v>
      </c>
      <c r="D27" s="181" t="s">
        <v>31</v>
      </c>
      <c r="E27" s="605" t="s">
        <v>32</v>
      </c>
      <c r="F27" s="606"/>
      <c r="G27" s="529"/>
      <c r="H27" s="530"/>
      <c r="I27" s="531"/>
      <c r="J27" s="182" t="s">
        <v>33</v>
      </c>
      <c r="K27" s="183"/>
      <c r="L27" s="183" t="s">
        <v>28</v>
      </c>
      <c r="M27" s="184">
        <v>1229.5999999999999</v>
      </c>
    </row>
    <row r="28" spans="1:14" s="178" customFormat="1" ht="33.75">
      <c r="A28" s="601"/>
      <c r="B28" s="185" t="s">
        <v>248</v>
      </c>
      <c r="C28" s="185" t="s">
        <v>245</v>
      </c>
      <c r="D28" s="186">
        <v>43371</v>
      </c>
      <c r="E28" s="187" t="s">
        <v>36</v>
      </c>
      <c r="F28" s="188" t="s">
        <v>249</v>
      </c>
      <c r="G28" s="532"/>
      <c r="H28" s="533"/>
      <c r="I28" s="534"/>
      <c r="J28" s="182" t="s">
        <v>250</v>
      </c>
      <c r="K28" s="183" t="s">
        <v>28</v>
      </c>
      <c r="L28" s="183"/>
      <c r="M28" s="189">
        <v>50</v>
      </c>
    </row>
    <row r="29" spans="1:14" s="178" customFormat="1">
      <c r="A29" s="190"/>
      <c r="B29" s="185"/>
      <c r="C29" s="185"/>
      <c r="D29" s="186"/>
      <c r="E29" s="187"/>
      <c r="F29" s="188"/>
      <c r="G29" s="169"/>
      <c r="H29" s="170"/>
      <c r="I29" s="171"/>
      <c r="J29" s="191" t="s">
        <v>38</v>
      </c>
      <c r="K29" s="191" t="s">
        <v>28</v>
      </c>
      <c r="L29" s="191"/>
      <c r="M29" s="192">
        <v>24</v>
      </c>
    </row>
    <row r="30" spans="1:14" s="178" customFormat="1">
      <c r="A30" s="190"/>
      <c r="B30" s="185"/>
      <c r="C30" s="185"/>
      <c r="D30" s="186"/>
      <c r="E30" s="187"/>
      <c r="F30" s="188"/>
      <c r="G30" s="169"/>
      <c r="H30" s="170"/>
      <c r="I30" s="171"/>
      <c r="J30" s="191" t="s">
        <v>38</v>
      </c>
      <c r="K30" s="191"/>
      <c r="L30" s="191" t="s">
        <v>28</v>
      </c>
      <c r="M30" s="192">
        <v>120</v>
      </c>
    </row>
    <row r="31" spans="1:14" s="178" customFormat="1">
      <c r="A31" s="190"/>
      <c r="B31" s="185"/>
      <c r="C31" s="185"/>
      <c r="D31" s="186"/>
      <c r="E31" s="187"/>
      <c r="F31" s="188"/>
      <c r="G31" s="169"/>
      <c r="H31" s="170"/>
      <c r="I31" s="171"/>
      <c r="J31" s="191" t="s">
        <v>251</v>
      </c>
      <c r="K31" s="191" t="s">
        <v>28</v>
      </c>
      <c r="L31" s="191"/>
      <c r="M31" s="192">
        <v>150</v>
      </c>
    </row>
    <row r="32" spans="1:14" s="178" customFormat="1">
      <c r="A32" s="190"/>
      <c r="B32" s="185"/>
      <c r="C32" s="185"/>
      <c r="D32" s="186"/>
      <c r="E32" s="187"/>
      <c r="F32" s="188"/>
      <c r="G32" s="169"/>
      <c r="H32" s="170"/>
      <c r="I32" s="171"/>
      <c r="J32" s="191" t="s">
        <v>252</v>
      </c>
      <c r="K32" s="191" t="s">
        <v>28</v>
      </c>
      <c r="L32" s="191"/>
      <c r="M32" s="192">
        <v>59</v>
      </c>
    </row>
    <row r="33" spans="1:13" s="200" customFormat="1" ht="23.25" thickBot="1">
      <c r="A33" s="190"/>
      <c r="B33" s="193"/>
      <c r="C33" s="194"/>
      <c r="D33" s="195"/>
      <c r="E33" s="196"/>
      <c r="F33" s="197"/>
      <c r="G33" s="157"/>
      <c r="H33" s="158"/>
      <c r="I33" s="159"/>
      <c r="J33" s="198" t="s">
        <v>253</v>
      </c>
      <c r="K33" s="198" t="s">
        <v>28</v>
      </c>
      <c r="L33" s="198"/>
      <c r="M33" s="199">
        <v>18.53</v>
      </c>
    </row>
    <row r="34" spans="1:13" s="152" customFormat="1" ht="24" thickTop="1" thickBot="1">
      <c r="A34" s="518">
        <f>A33+4</f>
        <v>4</v>
      </c>
      <c r="B34" s="150" t="s">
        <v>19</v>
      </c>
      <c r="C34" s="150" t="s">
        <v>20</v>
      </c>
      <c r="D34" s="150" t="s">
        <v>21</v>
      </c>
      <c r="E34" s="523" t="s">
        <v>22</v>
      </c>
      <c r="F34" s="523"/>
      <c r="G34" s="523" t="s">
        <v>12</v>
      </c>
      <c r="H34" s="528"/>
      <c r="I34" s="164"/>
      <c r="J34" s="126" t="s">
        <v>39</v>
      </c>
      <c r="K34" s="127"/>
      <c r="L34" s="127"/>
      <c r="M34" s="22"/>
    </row>
    <row r="35" spans="1:13" s="152" customFormat="1" ht="23.25" thickBot="1">
      <c r="A35" s="521"/>
      <c r="B35" s="128" t="s">
        <v>254</v>
      </c>
      <c r="C35" s="128" t="s">
        <v>255</v>
      </c>
      <c r="D35" s="129">
        <v>43250</v>
      </c>
      <c r="E35" s="128"/>
      <c r="F35" s="128" t="s">
        <v>122</v>
      </c>
      <c r="G35" s="524" t="s">
        <v>256</v>
      </c>
      <c r="H35" s="525"/>
      <c r="I35" s="526"/>
      <c r="J35" s="130" t="s">
        <v>257</v>
      </c>
      <c r="K35" s="130" t="s">
        <v>42</v>
      </c>
      <c r="L35" s="130"/>
      <c r="M35" s="65">
        <v>595</v>
      </c>
    </row>
    <row r="36" spans="1:13" s="152" customFormat="1" ht="68.25" thickBot="1">
      <c r="A36" s="521"/>
      <c r="B36" s="153" t="s">
        <v>29</v>
      </c>
      <c r="C36" s="153" t="s">
        <v>30</v>
      </c>
      <c r="D36" s="153" t="s">
        <v>31</v>
      </c>
      <c r="E36" s="527" t="s">
        <v>32</v>
      </c>
      <c r="F36" s="527"/>
      <c r="G36" s="529"/>
      <c r="H36" s="530"/>
      <c r="I36" s="531"/>
      <c r="J36" s="131" t="s">
        <v>258</v>
      </c>
      <c r="K36" s="132"/>
      <c r="L36" s="132"/>
      <c r="M36" s="24"/>
    </row>
    <row r="37" spans="1:13" s="152" customFormat="1" ht="23.25" thickBot="1">
      <c r="A37" s="522"/>
      <c r="B37" s="133" t="s">
        <v>164</v>
      </c>
      <c r="C37" s="133" t="s">
        <v>255</v>
      </c>
      <c r="D37" s="144">
        <v>43252</v>
      </c>
      <c r="E37" s="135" t="s">
        <v>36</v>
      </c>
      <c r="F37" s="25" t="s">
        <v>259</v>
      </c>
      <c r="G37" s="539"/>
      <c r="H37" s="540"/>
      <c r="I37" s="541"/>
      <c r="J37" s="131" t="s">
        <v>41</v>
      </c>
      <c r="K37" s="132"/>
      <c r="L37" s="132"/>
      <c r="M37" s="24"/>
    </row>
    <row r="38" spans="1:13" s="152" customFormat="1" ht="23.25" customHeight="1" thickTop="1">
      <c r="A38" s="518">
        <f>A37+5</f>
        <v>5</v>
      </c>
      <c r="B38" s="150" t="s">
        <v>19</v>
      </c>
      <c r="C38" s="150" t="s">
        <v>20</v>
      </c>
      <c r="D38" s="150" t="s">
        <v>21</v>
      </c>
      <c r="E38" s="523" t="s">
        <v>22</v>
      </c>
      <c r="F38" s="523"/>
      <c r="G38" s="523" t="s">
        <v>12</v>
      </c>
      <c r="H38" s="528"/>
      <c r="I38" s="164"/>
      <c r="J38" s="126" t="s">
        <v>39</v>
      </c>
      <c r="K38" s="127"/>
      <c r="L38" s="127"/>
      <c r="M38" s="22"/>
    </row>
    <row r="39" spans="1:13" s="152" customFormat="1" ht="22.5">
      <c r="A39" s="519"/>
      <c r="B39" s="128" t="s">
        <v>260</v>
      </c>
      <c r="C39" s="128" t="s">
        <v>261</v>
      </c>
      <c r="D39" s="129">
        <v>43307</v>
      </c>
      <c r="E39" s="128"/>
      <c r="F39" s="128" t="s">
        <v>262</v>
      </c>
      <c r="G39" s="524" t="s">
        <v>152</v>
      </c>
      <c r="H39" s="525"/>
      <c r="I39" s="526"/>
      <c r="J39" s="130" t="s">
        <v>263</v>
      </c>
      <c r="K39" s="130"/>
      <c r="L39" s="130" t="s">
        <v>42</v>
      </c>
      <c r="M39" s="65">
        <v>365</v>
      </c>
    </row>
    <row r="40" spans="1:13" s="152" customFormat="1" ht="22.5">
      <c r="A40" s="519"/>
      <c r="B40" s="153" t="s">
        <v>29</v>
      </c>
      <c r="C40" s="153" t="s">
        <v>30</v>
      </c>
      <c r="D40" s="153" t="s">
        <v>31</v>
      </c>
      <c r="E40" s="580" t="s">
        <v>32</v>
      </c>
      <c r="F40" s="581"/>
      <c r="G40" s="529"/>
      <c r="H40" s="530"/>
      <c r="I40" s="531"/>
      <c r="J40" s="131" t="s">
        <v>218</v>
      </c>
      <c r="K40" s="132"/>
      <c r="L40" s="132" t="s">
        <v>42</v>
      </c>
      <c r="M40" s="66">
        <v>413</v>
      </c>
    </row>
    <row r="41" spans="1:13" s="152" customFormat="1">
      <c r="A41" s="519"/>
      <c r="B41" s="153"/>
      <c r="C41" s="153"/>
      <c r="D41" s="153"/>
      <c r="E41" s="172"/>
      <c r="F41" s="173"/>
      <c r="G41" s="154"/>
      <c r="H41" s="155"/>
      <c r="I41" s="156"/>
      <c r="J41" s="131" t="s">
        <v>98</v>
      </c>
      <c r="K41" s="132"/>
      <c r="L41" s="132" t="s">
        <v>42</v>
      </c>
      <c r="M41" s="66">
        <v>80</v>
      </c>
    </row>
    <row r="42" spans="1:13" s="152" customFormat="1" ht="23.25" thickBot="1">
      <c r="A42" s="520"/>
      <c r="B42" s="133" t="s">
        <v>151</v>
      </c>
      <c r="C42" s="133"/>
      <c r="D42" s="144">
        <v>43310</v>
      </c>
      <c r="E42" s="135" t="s">
        <v>36</v>
      </c>
      <c r="F42" s="25" t="s">
        <v>264</v>
      </c>
      <c r="G42" s="539"/>
      <c r="H42" s="540"/>
      <c r="I42" s="541"/>
      <c r="J42" s="131" t="s">
        <v>219</v>
      </c>
      <c r="K42" s="132"/>
      <c r="L42" s="132" t="s">
        <v>42</v>
      </c>
      <c r="M42" s="66">
        <v>305</v>
      </c>
    </row>
    <row r="43" spans="1:13" s="152" customFormat="1" ht="24" thickTop="1" thickBot="1">
      <c r="A43" s="518">
        <f>A42+6</f>
        <v>6</v>
      </c>
      <c r="B43" s="150" t="s">
        <v>19</v>
      </c>
      <c r="C43" s="150" t="s">
        <v>20</v>
      </c>
      <c r="D43" s="150" t="s">
        <v>21</v>
      </c>
      <c r="E43" s="523" t="s">
        <v>22</v>
      </c>
      <c r="F43" s="523"/>
      <c r="G43" s="523" t="s">
        <v>12</v>
      </c>
      <c r="H43" s="528"/>
      <c r="I43" s="164"/>
      <c r="J43" s="126" t="s">
        <v>39</v>
      </c>
      <c r="K43" s="127"/>
      <c r="L43" s="127"/>
      <c r="M43" s="22"/>
    </row>
    <row r="44" spans="1:13" s="152" customFormat="1" ht="34.5" thickBot="1">
      <c r="A44" s="521"/>
      <c r="B44" s="128" t="s">
        <v>265</v>
      </c>
      <c r="C44" s="128" t="s">
        <v>266</v>
      </c>
      <c r="D44" s="129">
        <v>43200</v>
      </c>
      <c r="E44" s="128"/>
      <c r="F44" s="128" t="s">
        <v>267</v>
      </c>
      <c r="G44" s="524" t="s">
        <v>268</v>
      </c>
      <c r="H44" s="525"/>
      <c r="I44" s="526"/>
      <c r="J44" s="130" t="s">
        <v>269</v>
      </c>
      <c r="K44" s="130"/>
      <c r="L44" s="130" t="s">
        <v>28</v>
      </c>
      <c r="M44" s="65">
        <v>275</v>
      </c>
    </row>
    <row r="45" spans="1:13" s="152" customFormat="1" ht="23.25" thickBot="1">
      <c r="A45" s="521"/>
      <c r="B45" s="153" t="s">
        <v>29</v>
      </c>
      <c r="C45" s="153" t="s">
        <v>30</v>
      </c>
      <c r="D45" s="153" t="s">
        <v>31</v>
      </c>
      <c r="E45" s="527" t="s">
        <v>32</v>
      </c>
      <c r="F45" s="527"/>
      <c r="G45" s="529"/>
      <c r="H45" s="530"/>
      <c r="I45" s="531"/>
      <c r="J45" s="131" t="s">
        <v>40</v>
      </c>
      <c r="K45" s="132"/>
      <c r="L45" s="132"/>
      <c r="M45" s="24"/>
    </row>
    <row r="46" spans="1:13" s="152" customFormat="1" ht="23.25" thickBot="1">
      <c r="A46" s="522"/>
      <c r="B46" s="133" t="s">
        <v>270</v>
      </c>
      <c r="C46" s="133" t="s">
        <v>268</v>
      </c>
      <c r="D46" s="144">
        <v>43202</v>
      </c>
      <c r="E46" s="135" t="s">
        <v>36</v>
      </c>
      <c r="F46" s="25" t="s">
        <v>271</v>
      </c>
      <c r="G46" s="539"/>
      <c r="H46" s="540"/>
      <c r="I46" s="541"/>
      <c r="J46" s="131" t="s">
        <v>41</v>
      </c>
      <c r="K46" s="132"/>
      <c r="L46" s="132"/>
      <c r="M46" s="24"/>
    </row>
    <row r="47" spans="1:13" s="152" customFormat="1" ht="23.25" thickTop="1">
      <c r="A47" s="518">
        <f>A46+7</f>
        <v>7</v>
      </c>
      <c r="B47" s="150" t="s">
        <v>19</v>
      </c>
      <c r="C47" s="150" t="s">
        <v>20</v>
      </c>
      <c r="D47" s="150" t="s">
        <v>21</v>
      </c>
      <c r="E47" s="523" t="s">
        <v>22</v>
      </c>
      <c r="F47" s="523"/>
      <c r="G47" s="565" t="s">
        <v>12</v>
      </c>
      <c r="H47" s="566"/>
      <c r="I47" s="567"/>
      <c r="J47" s="126" t="s">
        <v>39</v>
      </c>
      <c r="K47" s="127"/>
      <c r="L47" s="127"/>
      <c r="M47" s="137"/>
    </row>
    <row r="48" spans="1:13" s="152" customFormat="1" ht="40.5" customHeight="1">
      <c r="A48" s="598"/>
      <c r="B48" s="128" t="s">
        <v>272</v>
      </c>
      <c r="C48" s="113" t="s">
        <v>273</v>
      </c>
      <c r="D48" s="129">
        <v>43368</v>
      </c>
      <c r="E48" s="128"/>
      <c r="F48" s="113" t="s">
        <v>274</v>
      </c>
      <c r="G48" s="524" t="s">
        <v>275</v>
      </c>
      <c r="H48" s="585"/>
      <c r="I48" s="586"/>
      <c r="J48" s="130" t="s">
        <v>27</v>
      </c>
      <c r="K48" s="130"/>
      <c r="L48" s="130" t="s">
        <v>28</v>
      </c>
      <c r="M48" s="145">
        <v>129.22</v>
      </c>
    </row>
    <row r="49" spans="1:13" s="152" customFormat="1" ht="22.5">
      <c r="A49" s="598"/>
      <c r="B49" s="153" t="s">
        <v>29</v>
      </c>
      <c r="C49" s="153" t="s">
        <v>30</v>
      </c>
      <c r="D49" s="162" t="s">
        <v>31</v>
      </c>
      <c r="E49" s="580" t="s">
        <v>32</v>
      </c>
      <c r="F49" s="581"/>
      <c r="G49" s="529"/>
      <c r="H49" s="530"/>
      <c r="I49" s="531"/>
      <c r="J49" s="131" t="s">
        <v>40</v>
      </c>
      <c r="K49" s="132"/>
      <c r="L49" s="132"/>
      <c r="M49" s="138"/>
    </row>
    <row r="50" spans="1:13" s="152" customFormat="1" ht="35.25" thickBot="1">
      <c r="A50" s="599"/>
      <c r="B50" s="201" t="s">
        <v>276</v>
      </c>
      <c r="C50" s="113" t="s">
        <v>277</v>
      </c>
      <c r="D50" s="144">
        <v>43368</v>
      </c>
      <c r="E50" s="135" t="s">
        <v>36</v>
      </c>
      <c r="F50" s="136" t="s">
        <v>278</v>
      </c>
      <c r="G50" s="582"/>
      <c r="H50" s="583"/>
      <c r="I50" s="584"/>
      <c r="J50" s="131" t="s">
        <v>41</v>
      </c>
      <c r="K50" s="132"/>
      <c r="L50" s="132"/>
      <c r="M50" s="138"/>
    </row>
    <row r="51" spans="1:13" s="152" customFormat="1" ht="24" customHeight="1" thickTop="1" thickBot="1">
      <c r="A51" s="518">
        <f>A47+1</f>
        <v>8</v>
      </c>
      <c r="B51" s="150" t="s">
        <v>19</v>
      </c>
      <c r="C51" s="150" t="s">
        <v>20</v>
      </c>
      <c r="D51" s="150" t="s">
        <v>21</v>
      </c>
      <c r="E51" s="523" t="s">
        <v>22</v>
      </c>
      <c r="F51" s="523"/>
      <c r="G51" s="565" t="s">
        <v>12</v>
      </c>
      <c r="H51" s="566"/>
      <c r="I51" s="567"/>
      <c r="J51" s="126" t="s">
        <v>39</v>
      </c>
      <c r="K51" s="127"/>
      <c r="L51" s="127"/>
      <c r="M51" s="137"/>
    </row>
    <row r="52" spans="1:13" s="152" customFormat="1" ht="23.25" thickBot="1">
      <c r="A52" s="521"/>
      <c r="B52" s="128" t="s">
        <v>172</v>
      </c>
      <c r="C52" s="128" t="s">
        <v>173</v>
      </c>
      <c r="D52" s="129">
        <v>43191</v>
      </c>
      <c r="E52" s="128"/>
      <c r="F52" s="128" t="s">
        <v>155</v>
      </c>
      <c r="G52" s="524" t="s">
        <v>161</v>
      </c>
      <c r="H52" s="585"/>
      <c r="I52" s="586"/>
      <c r="J52" s="130" t="s">
        <v>33</v>
      </c>
      <c r="K52" s="130"/>
      <c r="L52" s="130" t="s">
        <v>42</v>
      </c>
      <c r="M52" s="65">
        <v>700</v>
      </c>
    </row>
    <row r="53" spans="1:13" s="152" customFormat="1" ht="23.25" thickBot="1">
      <c r="A53" s="521"/>
      <c r="B53" s="153" t="s">
        <v>29</v>
      </c>
      <c r="C53" s="153" t="s">
        <v>30</v>
      </c>
      <c r="D53" s="153" t="s">
        <v>31</v>
      </c>
      <c r="E53" s="580" t="s">
        <v>32</v>
      </c>
      <c r="F53" s="581"/>
      <c r="G53" s="529"/>
      <c r="H53" s="530"/>
      <c r="I53" s="531"/>
      <c r="J53" s="131" t="s">
        <v>40</v>
      </c>
      <c r="K53" s="132"/>
      <c r="L53" s="132"/>
      <c r="M53" s="138"/>
    </row>
    <row r="54" spans="1:13" s="152" customFormat="1" ht="45.75" thickBot="1">
      <c r="A54" s="522"/>
      <c r="B54" s="133" t="s">
        <v>279</v>
      </c>
      <c r="C54" s="133" t="s">
        <v>280</v>
      </c>
      <c r="D54" s="144">
        <v>43197</v>
      </c>
      <c r="E54" s="135" t="s">
        <v>36</v>
      </c>
      <c r="F54" s="136" t="s">
        <v>281</v>
      </c>
      <c r="G54" s="582"/>
      <c r="H54" s="583"/>
      <c r="I54" s="584"/>
      <c r="J54" s="131" t="s">
        <v>41</v>
      </c>
      <c r="K54" s="132"/>
      <c r="L54" s="132"/>
      <c r="M54" s="138"/>
    </row>
    <row r="55" spans="1:13" s="152" customFormat="1" ht="24" customHeight="1" thickTop="1" thickBot="1">
      <c r="A55" s="518">
        <f>A51+1</f>
        <v>9</v>
      </c>
      <c r="B55" s="150" t="s">
        <v>19</v>
      </c>
      <c r="C55" s="150" t="s">
        <v>20</v>
      </c>
      <c r="D55" s="150" t="s">
        <v>21</v>
      </c>
      <c r="E55" s="528" t="s">
        <v>22</v>
      </c>
      <c r="F55" s="579"/>
      <c r="G55" s="528" t="s">
        <v>12</v>
      </c>
      <c r="H55" s="593"/>
      <c r="I55" s="164"/>
      <c r="J55" s="126" t="s">
        <v>39</v>
      </c>
      <c r="K55" s="127"/>
      <c r="L55" s="127"/>
      <c r="M55" s="137"/>
    </row>
    <row r="56" spans="1:13" s="152" customFormat="1" ht="23.25" thickBot="1">
      <c r="A56" s="521"/>
      <c r="B56" s="128" t="s">
        <v>282</v>
      </c>
      <c r="C56" s="128" t="s">
        <v>283</v>
      </c>
      <c r="D56" s="129">
        <v>43205</v>
      </c>
      <c r="E56" s="128"/>
      <c r="F56" s="128" t="s">
        <v>284</v>
      </c>
      <c r="G56" s="524" t="s">
        <v>285</v>
      </c>
      <c r="H56" s="585"/>
      <c r="I56" s="586"/>
      <c r="J56" s="130" t="s">
        <v>108</v>
      </c>
      <c r="K56" s="130" t="s">
        <v>28</v>
      </c>
      <c r="L56" s="130"/>
      <c r="M56" s="81">
        <v>128</v>
      </c>
    </row>
    <row r="57" spans="1:13" s="152" customFormat="1" ht="23.25" thickBot="1">
      <c r="A57" s="521"/>
      <c r="B57" s="153" t="s">
        <v>29</v>
      </c>
      <c r="C57" s="153" t="s">
        <v>30</v>
      </c>
      <c r="D57" s="153" t="s">
        <v>31</v>
      </c>
      <c r="E57" s="580" t="s">
        <v>32</v>
      </c>
      <c r="F57" s="581"/>
      <c r="G57" s="529"/>
      <c r="H57" s="530"/>
      <c r="I57" s="531"/>
      <c r="J57" s="131" t="s">
        <v>33</v>
      </c>
      <c r="K57" s="132" t="s">
        <v>28</v>
      </c>
      <c r="L57" s="132"/>
      <c r="M57" s="125">
        <v>441</v>
      </c>
    </row>
    <row r="58" spans="1:13" s="152" customFormat="1" ht="23.25" thickBot="1">
      <c r="A58" s="522"/>
      <c r="B58" s="134" t="s">
        <v>286</v>
      </c>
      <c r="C58" s="134" t="s">
        <v>283</v>
      </c>
      <c r="D58" s="144">
        <v>43206</v>
      </c>
      <c r="E58" s="135" t="s">
        <v>36</v>
      </c>
      <c r="F58" s="140" t="s">
        <v>287</v>
      </c>
      <c r="G58" s="539"/>
      <c r="H58" s="540"/>
      <c r="I58" s="541"/>
      <c r="J58" s="141" t="s">
        <v>38</v>
      </c>
      <c r="K58" s="142" t="s">
        <v>28</v>
      </c>
      <c r="L58" s="142"/>
      <c r="M58" s="147">
        <v>45</v>
      </c>
    </row>
    <row r="59" spans="1:13" s="152" customFormat="1" ht="24" customHeight="1" thickTop="1" thickBot="1">
      <c r="A59" s="518">
        <f>A55+1</f>
        <v>10</v>
      </c>
      <c r="B59" s="150" t="s">
        <v>19</v>
      </c>
      <c r="C59" s="150" t="s">
        <v>20</v>
      </c>
      <c r="D59" s="150" t="s">
        <v>21</v>
      </c>
      <c r="E59" s="523" t="s">
        <v>22</v>
      </c>
      <c r="F59" s="523"/>
      <c r="G59" s="523" t="s">
        <v>12</v>
      </c>
      <c r="H59" s="528"/>
      <c r="I59" s="164"/>
      <c r="J59" s="126" t="s">
        <v>39</v>
      </c>
      <c r="K59" s="127"/>
      <c r="L59" s="127"/>
      <c r="M59" s="22"/>
    </row>
    <row r="60" spans="1:13" s="152" customFormat="1" ht="34.5" thickBot="1">
      <c r="A60" s="521"/>
      <c r="B60" s="128" t="s">
        <v>288</v>
      </c>
      <c r="C60" s="128" t="s">
        <v>289</v>
      </c>
      <c r="D60" s="129">
        <v>43222</v>
      </c>
      <c r="E60" s="128"/>
      <c r="F60" s="128" t="s">
        <v>290</v>
      </c>
      <c r="G60" s="524" t="s">
        <v>160</v>
      </c>
      <c r="H60" s="525"/>
      <c r="I60" s="526"/>
      <c r="J60" s="130" t="s">
        <v>108</v>
      </c>
      <c r="K60" s="130"/>
      <c r="L60" s="130" t="s">
        <v>28</v>
      </c>
      <c r="M60" s="65">
        <v>732</v>
      </c>
    </row>
    <row r="61" spans="1:13" s="152" customFormat="1" ht="23.25" thickBot="1">
      <c r="A61" s="521"/>
      <c r="B61" s="153" t="s">
        <v>29</v>
      </c>
      <c r="C61" s="153" t="s">
        <v>30</v>
      </c>
      <c r="D61" s="153" t="s">
        <v>31</v>
      </c>
      <c r="E61" s="527" t="s">
        <v>32</v>
      </c>
      <c r="F61" s="527"/>
      <c r="G61" s="529"/>
      <c r="H61" s="530"/>
      <c r="I61" s="531"/>
      <c r="J61" s="131" t="s">
        <v>33</v>
      </c>
      <c r="K61" s="132"/>
      <c r="L61" s="132" t="s">
        <v>28</v>
      </c>
      <c r="M61" s="66">
        <v>595</v>
      </c>
    </row>
    <row r="62" spans="1:13" s="152" customFormat="1" ht="45.75" thickBot="1">
      <c r="A62" s="522"/>
      <c r="B62" s="133" t="s">
        <v>174</v>
      </c>
      <c r="C62" s="133" t="s">
        <v>280</v>
      </c>
      <c r="D62" s="144">
        <v>43224</v>
      </c>
      <c r="E62" s="135" t="s">
        <v>36</v>
      </c>
      <c r="F62" s="25" t="s">
        <v>291</v>
      </c>
      <c r="G62" s="539"/>
      <c r="H62" s="540"/>
      <c r="I62" s="541"/>
      <c r="J62" s="131" t="s">
        <v>38</v>
      </c>
      <c r="K62" s="132"/>
      <c r="L62" s="132" t="s">
        <v>28</v>
      </c>
      <c r="M62" s="66">
        <v>79</v>
      </c>
    </row>
    <row r="63" spans="1:13" s="152" customFormat="1" ht="24" customHeight="1" thickTop="1" thickBot="1">
      <c r="A63" s="518">
        <f>A59+1</f>
        <v>11</v>
      </c>
      <c r="B63" s="150" t="s">
        <v>292</v>
      </c>
      <c r="C63" s="150" t="s">
        <v>20</v>
      </c>
      <c r="D63" s="150" t="s">
        <v>21</v>
      </c>
      <c r="E63" s="523" t="s">
        <v>22</v>
      </c>
      <c r="F63" s="523"/>
      <c r="G63" s="523" t="s">
        <v>12</v>
      </c>
      <c r="H63" s="528"/>
      <c r="I63" s="164"/>
      <c r="J63" s="126" t="s">
        <v>39</v>
      </c>
      <c r="K63" s="127"/>
      <c r="L63" s="127"/>
      <c r="M63" s="22"/>
    </row>
    <row r="64" spans="1:13" s="152" customFormat="1" ht="34.5" thickBot="1">
      <c r="A64" s="521"/>
      <c r="B64" s="128" t="s">
        <v>293</v>
      </c>
      <c r="C64" s="128" t="s">
        <v>289</v>
      </c>
      <c r="D64" s="129">
        <v>43222</v>
      </c>
      <c r="E64" s="128"/>
      <c r="F64" s="128" t="s">
        <v>290</v>
      </c>
      <c r="G64" s="524" t="s">
        <v>160</v>
      </c>
      <c r="H64" s="525"/>
      <c r="I64" s="526"/>
      <c r="J64" s="130" t="s">
        <v>108</v>
      </c>
      <c r="K64" s="130"/>
      <c r="L64" s="130" t="s">
        <v>42</v>
      </c>
      <c r="M64" s="65">
        <v>732</v>
      </c>
    </row>
    <row r="65" spans="1:13" s="152" customFormat="1" ht="23.25" thickBot="1">
      <c r="A65" s="521"/>
      <c r="B65" s="153" t="s">
        <v>29</v>
      </c>
      <c r="C65" s="153" t="s">
        <v>30</v>
      </c>
      <c r="D65" s="153" t="s">
        <v>31</v>
      </c>
      <c r="E65" s="527" t="s">
        <v>32</v>
      </c>
      <c r="F65" s="527"/>
      <c r="G65" s="529"/>
      <c r="H65" s="530"/>
      <c r="I65" s="531"/>
      <c r="J65" s="131" t="s">
        <v>33</v>
      </c>
      <c r="K65" s="132"/>
      <c r="L65" s="132" t="s">
        <v>42</v>
      </c>
      <c r="M65" s="66">
        <v>595</v>
      </c>
    </row>
    <row r="66" spans="1:13" s="152" customFormat="1" ht="45.75" thickBot="1">
      <c r="A66" s="522"/>
      <c r="B66" s="133" t="s">
        <v>99</v>
      </c>
      <c r="C66" s="133" t="s">
        <v>280</v>
      </c>
      <c r="D66" s="144">
        <v>43224</v>
      </c>
      <c r="E66" s="135" t="s">
        <v>36</v>
      </c>
      <c r="F66" s="136" t="s">
        <v>294</v>
      </c>
      <c r="G66" s="539"/>
      <c r="H66" s="540"/>
      <c r="I66" s="541"/>
      <c r="J66" s="131" t="s">
        <v>38</v>
      </c>
      <c r="K66" s="132"/>
      <c r="L66" s="132" t="s">
        <v>42</v>
      </c>
      <c r="M66" s="66">
        <v>79</v>
      </c>
    </row>
    <row r="67" spans="1:13" s="152" customFormat="1" ht="24" customHeight="1" thickTop="1" thickBot="1">
      <c r="A67" s="518">
        <f>A63+1</f>
        <v>12</v>
      </c>
      <c r="B67" s="150" t="s">
        <v>19</v>
      </c>
      <c r="C67" s="150" t="s">
        <v>20</v>
      </c>
      <c r="D67" s="150" t="s">
        <v>21</v>
      </c>
      <c r="E67" s="523" t="s">
        <v>22</v>
      </c>
      <c r="F67" s="523"/>
      <c r="G67" s="523" t="s">
        <v>12</v>
      </c>
      <c r="H67" s="528"/>
      <c r="I67" s="164"/>
      <c r="J67" s="126" t="s">
        <v>39</v>
      </c>
      <c r="K67" s="127"/>
      <c r="L67" s="127"/>
      <c r="M67" s="22"/>
    </row>
    <row r="68" spans="1:13" s="152" customFormat="1" ht="23.25" thickBot="1">
      <c r="A68" s="521"/>
      <c r="B68" s="128" t="s">
        <v>295</v>
      </c>
      <c r="C68" s="128" t="s">
        <v>296</v>
      </c>
      <c r="D68" s="129">
        <v>43355</v>
      </c>
      <c r="E68" s="128"/>
      <c r="F68" s="128" t="s">
        <v>155</v>
      </c>
      <c r="G68" s="524" t="s">
        <v>160</v>
      </c>
      <c r="H68" s="525"/>
      <c r="I68" s="526"/>
      <c r="J68" s="130" t="s">
        <v>108</v>
      </c>
      <c r="K68" s="130"/>
      <c r="L68" s="130" t="s">
        <v>28</v>
      </c>
      <c r="M68" s="65">
        <v>160</v>
      </c>
    </row>
    <row r="69" spans="1:13" s="152" customFormat="1" ht="23.25" thickBot="1">
      <c r="A69" s="521"/>
      <c r="B69" s="153" t="s">
        <v>29</v>
      </c>
      <c r="C69" s="153" t="s">
        <v>30</v>
      </c>
      <c r="D69" s="153" t="s">
        <v>31</v>
      </c>
      <c r="E69" s="527" t="s">
        <v>32</v>
      </c>
      <c r="F69" s="527"/>
      <c r="G69" s="529"/>
      <c r="H69" s="530"/>
      <c r="I69" s="531"/>
      <c r="J69" s="131" t="s">
        <v>33</v>
      </c>
      <c r="K69" s="132"/>
      <c r="L69" s="132" t="s">
        <v>28</v>
      </c>
      <c r="M69" s="66">
        <v>700</v>
      </c>
    </row>
    <row r="70" spans="1:13" s="152" customFormat="1" ht="45.75" thickBot="1">
      <c r="A70" s="522"/>
      <c r="B70" s="134" t="s">
        <v>174</v>
      </c>
      <c r="C70" s="134" t="s">
        <v>280</v>
      </c>
      <c r="D70" s="144">
        <v>43358</v>
      </c>
      <c r="E70" s="135" t="s">
        <v>36</v>
      </c>
      <c r="F70" s="140" t="s">
        <v>297</v>
      </c>
      <c r="G70" s="539"/>
      <c r="H70" s="540"/>
      <c r="I70" s="541"/>
      <c r="J70" s="141" t="s">
        <v>41</v>
      </c>
      <c r="K70" s="142"/>
      <c r="L70" s="142"/>
      <c r="M70" s="36"/>
    </row>
    <row r="71" spans="1:13" s="152" customFormat="1" ht="24" customHeight="1" thickTop="1" thickBot="1">
      <c r="A71" s="518">
        <f>A67+1</f>
        <v>13</v>
      </c>
      <c r="B71" s="150" t="s">
        <v>19</v>
      </c>
      <c r="C71" s="150" t="s">
        <v>20</v>
      </c>
      <c r="D71" s="150" t="s">
        <v>21</v>
      </c>
      <c r="E71" s="523" t="s">
        <v>22</v>
      </c>
      <c r="F71" s="523"/>
      <c r="G71" s="523" t="s">
        <v>12</v>
      </c>
      <c r="H71" s="528"/>
      <c r="I71" s="164"/>
      <c r="J71" s="126" t="s">
        <v>39</v>
      </c>
      <c r="K71" s="127"/>
      <c r="L71" s="127"/>
      <c r="M71" s="22"/>
    </row>
    <row r="72" spans="1:13" s="152" customFormat="1" ht="23.25" thickBot="1">
      <c r="A72" s="521"/>
      <c r="B72" s="128" t="s">
        <v>298</v>
      </c>
      <c r="C72" s="128" t="s">
        <v>299</v>
      </c>
      <c r="D72" s="129">
        <v>43318</v>
      </c>
      <c r="E72" s="128"/>
      <c r="F72" s="128" t="s">
        <v>145</v>
      </c>
      <c r="G72" s="524" t="s">
        <v>300</v>
      </c>
      <c r="H72" s="525"/>
      <c r="I72" s="526"/>
      <c r="J72" s="130" t="s">
        <v>108</v>
      </c>
      <c r="K72" s="130"/>
      <c r="L72" s="130" t="s">
        <v>28</v>
      </c>
      <c r="M72" s="65">
        <v>990</v>
      </c>
    </row>
    <row r="73" spans="1:13" s="152" customFormat="1" ht="23.25" thickBot="1">
      <c r="A73" s="521"/>
      <c r="B73" s="153" t="s">
        <v>29</v>
      </c>
      <c r="C73" s="153" t="s">
        <v>30</v>
      </c>
      <c r="D73" s="153" t="s">
        <v>31</v>
      </c>
      <c r="E73" s="527" t="s">
        <v>32</v>
      </c>
      <c r="F73" s="527"/>
      <c r="G73" s="529"/>
      <c r="H73" s="530"/>
      <c r="I73" s="531"/>
      <c r="J73" s="131" t="s">
        <v>33</v>
      </c>
      <c r="K73" s="132"/>
      <c r="L73" s="132" t="s">
        <v>28</v>
      </c>
      <c r="M73" s="66">
        <v>1693</v>
      </c>
    </row>
    <row r="74" spans="1:13" s="152" customFormat="1" ht="23.25" thickBot="1">
      <c r="A74" s="522"/>
      <c r="B74" s="133" t="s">
        <v>301</v>
      </c>
      <c r="C74" s="133" t="s">
        <v>302</v>
      </c>
      <c r="D74" s="144">
        <v>43322</v>
      </c>
      <c r="E74" s="135" t="s">
        <v>36</v>
      </c>
      <c r="F74" s="25" t="s">
        <v>303</v>
      </c>
      <c r="G74" s="539"/>
      <c r="H74" s="540"/>
      <c r="I74" s="541"/>
      <c r="J74" s="131" t="s">
        <v>41</v>
      </c>
      <c r="K74" s="132"/>
      <c r="L74" s="132"/>
      <c r="M74" s="24"/>
    </row>
    <row r="75" spans="1:13" s="152" customFormat="1" ht="24" customHeight="1" thickTop="1" thickBot="1">
      <c r="A75" s="518">
        <f>A71+1</f>
        <v>14</v>
      </c>
      <c r="B75" s="150" t="s">
        <v>19</v>
      </c>
      <c r="C75" s="150" t="s">
        <v>20</v>
      </c>
      <c r="D75" s="150" t="s">
        <v>21</v>
      </c>
      <c r="E75" s="523" t="s">
        <v>22</v>
      </c>
      <c r="F75" s="523"/>
      <c r="G75" s="523" t="s">
        <v>12</v>
      </c>
      <c r="H75" s="528"/>
      <c r="I75" s="164"/>
      <c r="J75" s="126" t="s">
        <v>39</v>
      </c>
      <c r="K75" s="127"/>
      <c r="L75" s="127"/>
      <c r="M75" s="22"/>
    </row>
    <row r="76" spans="1:13" s="152" customFormat="1" ht="23.25" thickBot="1">
      <c r="A76" s="521"/>
      <c r="B76" s="128" t="s">
        <v>304</v>
      </c>
      <c r="C76" s="128" t="s">
        <v>299</v>
      </c>
      <c r="D76" s="129">
        <v>43318</v>
      </c>
      <c r="E76" s="128"/>
      <c r="F76" s="128" t="s">
        <v>145</v>
      </c>
      <c r="G76" s="524" t="s">
        <v>300</v>
      </c>
      <c r="H76" s="525"/>
      <c r="I76" s="526"/>
      <c r="J76" s="130" t="s">
        <v>108</v>
      </c>
      <c r="K76" s="130"/>
      <c r="L76" s="130" t="s">
        <v>28</v>
      </c>
      <c r="M76" s="65">
        <v>990</v>
      </c>
    </row>
    <row r="77" spans="1:13" s="152" customFormat="1" ht="23.25" thickBot="1">
      <c r="A77" s="521"/>
      <c r="B77" s="153" t="s">
        <v>29</v>
      </c>
      <c r="C77" s="153" t="s">
        <v>30</v>
      </c>
      <c r="D77" s="153" t="s">
        <v>31</v>
      </c>
      <c r="E77" s="527" t="s">
        <v>32</v>
      </c>
      <c r="F77" s="527"/>
      <c r="G77" s="529"/>
      <c r="H77" s="530"/>
      <c r="I77" s="531"/>
      <c r="J77" s="131" t="s">
        <v>33</v>
      </c>
      <c r="K77" s="132"/>
      <c r="L77" s="132" t="s">
        <v>28</v>
      </c>
      <c r="M77" s="66">
        <v>1693</v>
      </c>
    </row>
    <row r="78" spans="1:13" s="152" customFormat="1" ht="23.25" thickBot="1">
      <c r="A78" s="522"/>
      <c r="B78" s="133" t="s">
        <v>305</v>
      </c>
      <c r="C78" s="133" t="s">
        <v>302</v>
      </c>
      <c r="D78" s="144">
        <v>43322</v>
      </c>
      <c r="E78" s="135" t="s">
        <v>36</v>
      </c>
      <c r="F78" s="25" t="s">
        <v>303</v>
      </c>
      <c r="G78" s="539"/>
      <c r="H78" s="540"/>
      <c r="I78" s="541"/>
      <c r="J78" s="131" t="s">
        <v>41</v>
      </c>
      <c r="K78" s="132"/>
      <c r="L78" s="132"/>
      <c r="M78" s="24"/>
    </row>
    <row r="79" spans="1:13" s="152" customFormat="1" ht="24" customHeight="1" thickTop="1" thickBot="1">
      <c r="A79" s="518">
        <f>A75+1</f>
        <v>15</v>
      </c>
      <c r="B79" s="150" t="s">
        <v>19</v>
      </c>
      <c r="C79" s="150" t="s">
        <v>20</v>
      </c>
      <c r="D79" s="150" t="s">
        <v>21</v>
      </c>
      <c r="E79" s="523" t="s">
        <v>22</v>
      </c>
      <c r="F79" s="523"/>
      <c r="G79" s="523" t="s">
        <v>12</v>
      </c>
      <c r="H79" s="528"/>
      <c r="I79" s="164"/>
      <c r="J79" s="126" t="s">
        <v>39</v>
      </c>
      <c r="K79" s="127"/>
      <c r="L79" s="127"/>
      <c r="M79" s="22"/>
    </row>
    <row r="80" spans="1:13" s="152" customFormat="1" ht="15.75" thickBot="1">
      <c r="A80" s="521"/>
      <c r="B80" s="128" t="s">
        <v>306</v>
      </c>
      <c r="C80" s="128" t="s">
        <v>307</v>
      </c>
      <c r="D80" s="129">
        <v>43269</v>
      </c>
      <c r="E80" s="128"/>
      <c r="F80" s="128" t="s">
        <v>308</v>
      </c>
      <c r="G80" s="524" t="s">
        <v>309</v>
      </c>
      <c r="H80" s="525"/>
      <c r="I80" s="526"/>
      <c r="J80" s="130" t="s">
        <v>108</v>
      </c>
      <c r="K80" s="130"/>
      <c r="L80" s="130" t="s">
        <v>28</v>
      </c>
      <c r="M80" s="65">
        <v>1211</v>
      </c>
    </row>
    <row r="81" spans="1:13" s="152" customFormat="1" ht="23.25" thickBot="1">
      <c r="A81" s="521"/>
      <c r="B81" s="153" t="s">
        <v>29</v>
      </c>
      <c r="C81" s="153" t="s">
        <v>30</v>
      </c>
      <c r="D81" s="153" t="s">
        <v>31</v>
      </c>
      <c r="E81" s="527" t="s">
        <v>32</v>
      </c>
      <c r="F81" s="527"/>
      <c r="G81" s="529"/>
      <c r="H81" s="530"/>
      <c r="I81" s="531"/>
      <c r="J81" s="131" t="s">
        <v>38</v>
      </c>
      <c r="K81" s="132"/>
      <c r="L81" s="132" t="s">
        <v>28</v>
      </c>
      <c r="M81" s="24">
        <v>639</v>
      </c>
    </row>
    <row r="82" spans="1:13" s="152" customFormat="1" ht="23.25" thickBot="1">
      <c r="A82" s="522"/>
      <c r="B82" s="133" t="s">
        <v>310</v>
      </c>
      <c r="C82" s="133" t="s">
        <v>309</v>
      </c>
      <c r="D82" s="144">
        <v>43273</v>
      </c>
      <c r="E82" s="135" t="s">
        <v>36</v>
      </c>
      <c r="F82" s="25" t="s">
        <v>311</v>
      </c>
      <c r="G82" s="539"/>
      <c r="H82" s="540"/>
      <c r="I82" s="541"/>
      <c r="J82" s="131" t="s">
        <v>41</v>
      </c>
      <c r="K82" s="132"/>
      <c r="L82" s="132"/>
      <c r="M82" s="24"/>
    </row>
    <row r="83" spans="1:13" s="152" customFormat="1" ht="24" customHeight="1" thickTop="1" thickBot="1">
      <c r="A83" s="518">
        <f>A79+1</f>
        <v>16</v>
      </c>
      <c r="B83" s="150" t="s">
        <v>19</v>
      </c>
      <c r="C83" s="150" t="s">
        <v>20</v>
      </c>
      <c r="D83" s="150" t="s">
        <v>21</v>
      </c>
      <c r="E83" s="523" t="s">
        <v>22</v>
      </c>
      <c r="F83" s="523"/>
      <c r="G83" s="523" t="s">
        <v>12</v>
      </c>
      <c r="H83" s="528"/>
      <c r="I83" s="164"/>
      <c r="J83" s="126" t="s">
        <v>39</v>
      </c>
      <c r="K83" s="127"/>
      <c r="L83" s="127"/>
      <c r="M83" s="22"/>
    </row>
    <row r="84" spans="1:13" s="152" customFormat="1" ht="15.75" thickBot="1">
      <c r="A84" s="521"/>
      <c r="B84" s="128" t="s">
        <v>312</v>
      </c>
      <c r="C84" s="128" t="s">
        <v>307</v>
      </c>
      <c r="D84" s="129">
        <v>43269</v>
      </c>
      <c r="E84" s="128"/>
      <c r="F84" s="128" t="s">
        <v>308</v>
      </c>
      <c r="G84" s="524" t="s">
        <v>309</v>
      </c>
      <c r="H84" s="525"/>
      <c r="I84" s="526"/>
      <c r="J84" s="130" t="s">
        <v>108</v>
      </c>
      <c r="K84" s="130"/>
      <c r="L84" s="130" t="s">
        <v>28</v>
      </c>
      <c r="M84" s="65">
        <v>1211</v>
      </c>
    </row>
    <row r="85" spans="1:13" s="152" customFormat="1" ht="23.25" thickBot="1">
      <c r="A85" s="521"/>
      <c r="B85" s="153" t="s">
        <v>29</v>
      </c>
      <c r="C85" s="153" t="s">
        <v>30</v>
      </c>
      <c r="D85" s="153" t="s">
        <v>31</v>
      </c>
      <c r="E85" s="527" t="s">
        <v>32</v>
      </c>
      <c r="F85" s="527"/>
      <c r="G85" s="529"/>
      <c r="H85" s="530"/>
      <c r="I85" s="531"/>
      <c r="J85" s="131" t="s">
        <v>38</v>
      </c>
      <c r="K85" s="132"/>
      <c r="L85" s="132" t="s">
        <v>28</v>
      </c>
      <c r="M85" s="66">
        <v>639</v>
      </c>
    </row>
    <row r="86" spans="1:13" s="152" customFormat="1" ht="23.25" thickBot="1">
      <c r="A86" s="522"/>
      <c r="B86" s="133" t="s">
        <v>313</v>
      </c>
      <c r="C86" s="133" t="s">
        <v>309</v>
      </c>
      <c r="D86" s="144">
        <v>43273</v>
      </c>
      <c r="E86" s="135" t="s">
        <v>36</v>
      </c>
      <c r="F86" s="25" t="s">
        <v>311</v>
      </c>
      <c r="G86" s="539"/>
      <c r="H86" s="540"/>
      <c r="I86" s="541"/>
      <c r="J86" s="131" t="s">
        <v>41</v>
      </c>
      <c r="K86" s="132"/>
      <c r="L86" s="132"/>
      <c r="M86" s="24"/>
    </row>
    <row r="87" spans="1:13" s="152" customFormat="1" ht="24" customHeight="1" thickTop="1" thickBot="1">
      <c r="A87" s="518">
        <f>A83+1</f>
        <v>17</v>
      </c>
      <c r="B87" s="150" t="s">
        <v>19</v>
      </c>
      <c r="C87" s="150" t="s">
        <v>20</v>
      </c>
      <c r="D87" s="150" t="s">
        <v>21</v>
      </c>
      <c r="E87" s="523" t="s">
        <v>22</v>
      </c>
      <c r="F87" s="523"/>
      <c r="G87" s="523" t="s">
        <v>12</v>
      </c>
      <c r="H87" s="528"/>
      <c r="I87" s="164"/>
      <c r="J87" s="126" t="s">
        <v>39</v>
      </c>
      <c r="K87" s="127"/>
      <c r="L87" s="127"/>
      <c r="M87" s="22"/>
    </row>
    <row r="88" spans="1:13" s="152" customFormat="1" ht="15.75" thickBot="1">
      <c r="A88" s="521"/>
      <c r="B88" s="128" t="s">
        <v>314</v>
      </c>
      <c r="C88" s="128" t="s">
        <v>315</v>
      </c>
      <c r="D88" s="129">
        <v>43303</v>
      </c>
      <c r="E88" s="128"/>
      <c r="F88" s="128" t="s">
        <v>212</v>
      </c>
      <c r="G88" s="524" t="s">
        <v>316</v>
      </c>
      <c r="H88" s="525"/>
      <c r="I88" s="526"/>
      <c r="J88" s="130" t="s">
        <v>108</v>
      </c>
      <c r="K88" s="130"/>
      <c r="L88" s="130" t="s">
        <v>28</v>
      </c>
      <c r="M88" s="65">
        <v>1625</v>
      </c>
    </row>
    <row r="89" spans="1:13" s="152" customFormat="1" ht="34.5" thickBot="1">
      <c r="A89" s="521"/>
      <c r="B89" s="153" t="s">
        <v>29</v>
      </c>
      <c r="C89" s="153" t="s">
        <v>30</v>
      </c>
      <c r="D89" s="153" t="s">
        <v>31</v>
      </c>
      <c r="E89" s="527" t="s">
        <v>32</v>
      </c>
      <c r="F89" s="527"/>
      <c r="G89" s="529"/>
      <c r="H89" s="530"/>
      <c r="I89" s="531"/>
      <c r="J89" s="131" t="s">
        <v>317</v>
      </c>
      <c r="K89" s="132"/>
      <c r="L89" s="132" t="s">
        <v>28</v>
      </c>
      <c r="M89" s="66">
        <v>675</v>
      </c>
    </row>
    <row r="90" spans="1:13" s="152" customFormat="1" ht="34.5" thickBot="1">
      <c r="A90" s="522"/>
      <c r="B90" s="133" t="s">
        <v>318</v>
      </c>
      <c r="C90" s="133" t="s">
        <v>316</v>
      </c>
      <c r="D90" s="144">
        <v>43306</v>
      </c>
      <c r="E90" s="135" t="s">
        <v>36</v>
      </c>
      <c r="F90" s="25" t="s">
        <v>319</v>
      </c>
      <c r="G90" s="539"/>
      <c r="H90" s="540"/>
      <c r="I90" s="541"/>
      <c r="J90" s="131" t="s">
        <v>41</v>
      </c>
      <c r="K90" s="132"/>
      <c r="L90" s="132"/>
      <c r="M90" s="24"/>
    </row>
    <row r="91" spans="1:13" s="152" customFormat="1" ht="24" customHeight="1" thickTop="1" thickBot="1">
      <c r="A91" s="518">
        <f>A87+1</f>
        <v>18</v>
      </c>
      <c r="B91" s="150" t="s">
        <v>19</v>
      </c>
      <c r="C91" s="150" t="s">
        <v>20</v>
      </c>
      <c r="D91" s="150" t="s">
        <v>21</v>
      </c>
      <c r="E91" s="523" t="s">
        <v>22</v>
      </c>
      <c r="F91" s="523"/>
      <c r="G91" s="523" t="s">
        <v>12</v>
      </c>
      <c r="H91" s="528"/>
      <c r="I91" s="164"/>
      <c r="J91" s="126" t="s">
        <v>39</v>
      </c>
      <c r="K91" s="127"/>
      <c r="L91" s="127"/>
      <c r="M91" s="22"/>
    </row>
    <row r="92" spans="1:13" s="152" customFormat="1" ht="34.5" thickBot="1">
      <c r="A92" s="521"/>
      <c r="B92" s="128" t="s">
        <v>320</v>
      </c>
      <c r="C92" s="128" t="s">
        <v>321</v>
      </c>
      <c r="D92" s="129">
        <v>43319</v>
      </c>
      <c r="E92" s="128"/>
      <c r="F92" s="128" t="s">
        <v>322</v>
      </c>
      <c r="G92" s="524" t="s">
        <v>323</v>
      </c>
      <c r="H92" s="525"/>
      <c r="I92" s="526"/>
      <c r="J92" s="130" t="s">
        <v>108</v>
      </c>
      <c r="K92" s="130"/>
      <c r="L92" s="130" t="s">
        <v>28</v>
      </c>
      <c r="M92" s="65">
        <v>158</v>
      </c>
    </row>
    <row r="93" spans="1:13" s="152" customFormat="1" ht="23.25" thickBot="1">
      <c r="A93" s="521"/>
      <c r="B93" s="153" t="s">
        <v>29</v>
      </c>
      <c r="C93" s="153" t="s">
        <v>30</v>
      </c>
      <c r="D93" s="153" t="s">
        <v>31</v>
      </c>
      <c r="E93" s="527" t="s">
        <v>32</v>
      </c>
      <c r="F93" s="527"/>
      <c r="G93" s="529"/>
      <c r="H93" s="530"/>
      <c r="I93" s="531"/>
      <c r="J93" s="131" t="s">
        <v>33</v>
      </c>
      <c r="K93" s="132"/>
      <c r="L93" s="132" t="s">
        <v>28</v>
      </c>
      <c r="M93" s="66">
        <v>180</v>
      </c>
    </row>
    <row r="94" spans="1:13" s="152" customFormat="1" ht="15.75" thickBot="1">
      <c r="A94" s="522"/>
      <c r="B94" s="133" t="s">
        <v>324</v>
      </c>
      <c r="C94" s="133" t="s">
        <v>323</v>
      </c>
      <c r="D94" s="144">
        <v>43319</v>
      </c>
      <c r="E94" s="135" t="s">
        <v>36</v>
      </c>
      <c r="F94" s="136">
        <v>43319</v>
      </c>
      <c r="G94" s="539"/>
      <c r="H94" s="540"/>
      <c r="I94" s="541"/>
      <c r="J94" s="131" t="s">
        <v>41</v>
      </c>
      <c r="K94" s="132"/>
      <c r="L94" s="132"/>
      <c r="M94" s="24"/>
    </row>
    <row r="95" spans="1:13" s="152" customFormat="1" ht="24" customHeight="1" thickTop="1" thickBot="1">
      <c r="A95" s="518">
        <f>A91+1</f>
        <v>19</v>
      </c>
      <c r="B95" s="150" t="s">
        <v>19</v>
      </c>
      <c r="C95" s="150" t="s">
        <v>20</v>
      </c>
      <c r="D95" s="150" t="s">
        <v>21</v>
      </c>
      <c r="E95" s="523" t="s">
        <v>22</v>
      </c>
      <c r="F95" s="523"/>
      <c r="G95" s="523" t="s">
        <v>12</v>
      </c>
      <c r="H95" s="528"/>
      <c r="I95" s="164"/>
      <c r="J95" s="126" t="s">
        <v>39</v>
      </c>
      <c r="K95" s="127"/>
      <c r="L95" s="127"/>
      <c r="M95" s="22"/>
    </row>
    <row r="96" spans="1:13" s="152" customFormat="1" ht="23.25" thickBot="1">
      <c r="A96" s="521"/>
      <c r="B96" s="128" t="s">
        <v>325</v>
      </c>
      <c r="C96" s="128" t="s">
        <v>326</v>
      </c>
      <c r="D96" s="129">
        <v>43371</v>
      </c>
      <c r="E96" s="128"/>
      <c r="F96" s="128" t="s">
        <v>327</v>
      </c>
      <c r="G96" s="524" t="s">
        <v>329</v>
      </c>
      <c r="H96" s="525"/>
      <c r="I96" s="526"/>
      <c r="J96" s="130" t="s">
        <v>108</v>
      </c>
      <c r="K96" s="130"/>
      <c r="L96" s="130" t="s">
        <v>28</v>
      </c>
      <c r="M96" s="65">
        <v>500</v>
      </c>
    </row>
    <row r="97" spans="1:13" s="152" customFormat="1" ht="23.25" thickBot="1">
      <c r="A97" s="521"/>
      <c r="B97" s="153" t="s">
        <v>29</v>
      </c>
      <c r="C97" s="153" t="s">
        <v>30</v>
      </c>
      <c r="D97" s="153" t="s">
        <v>31</v>
      </c>
      <c r="E97" s="527" t="s">
        <v>32</v>
      </c>
      <c r="F97" s="527"/>
      <c r="G97" s="529"/>
      <c r="H97" s="530"/>
      <c r="I97" s="531"/>
      <c r="J97" s="131" t="s">
        <v>33</v>
      </c>
      <c r="K97" s="132"/>
      <c r="L97" s="132" t="s">
        <v>28</v>
      </c>
      <c r="M97" s="66">
        <v>600</v>
      </c>
    </row>
    <row r="98" spans="1:13" s="152" customFormat="1" ht="23.25" thickBot="1">
      <c r="A98" s="522"/>
      <c r="B98" s="133" t="s">
        <v>328</v>
      </c>
      <c r="C98" s="133" t="s">
        <v>329</v>
      </c>
      <c r="D98" s="144">
        <v>43372</v>
      </c>
      <c r="E98" s="135" t="s">
        <v>36</v>
      </c>
      <c r="F98" s="25" t="s">
        <v>330</v>
      </c>
      <c r="G98" s="539"/>
      <c r="H98" s="540"/>
      <c r="I98" s="541"/>
      <c r="J98" s="131" t="s">
        <v>38</v>
      </c>
      <c r="K98" s="132"/>
      <c r="L98" s="132" t="s">
        <v>28</v>
      </c>
      <c r="M98" s="66">
        <v>200</v>
      </c>
    </row>
    <row r="99" spans="1:13" s="152" customFormat="1" ht="24" customHeight="1" thickTop="1" thickBot="1">
      <c r="A99" s="518">
        <f>A95+1</f>
        <v>20</v>
      </c>
      <c r="B99" s="150" t="s">
        <v>19</v>
      </c>
      <c r="C99" s="150" t="s">
        <v>20</v>
      </c>
      <c r="D99" s="150" t="s">
        <v>21</v>
      </c>
      <c r="E99" s="523" t="s">
        <v>22</v>
      </c>
      <c r="F99" s="523"/>
      <c r="G99" s="523" t="s">
        <v>12</v>
      </c>
      <c r="H99" s="528"/>
      <c r="I99" s="164"/>
      <c r="J99" s="126" t="s">
        <v>39</v>
      </c>
      <c r="K99" s="127"/>
      <c r="L99" s="127"/>
      <c r="M99" s="22"/>
    </row>
    <row r="100" spans="1:13" s="152" customFormat="1" ht="34.5" thickBot="1">
      <c r="A100" s="521"/>
      <c r="B100" s="128" t="s">
        <v>331</v>
      </c>
      <c r="C100" s="128" t="s">
        <v>332</v>
      </c>
      <c r="D100" s="129">
        <v>43207</v>
      </c>
      <c r="E100" s="128"/>
      <c r="F100" s="128" t="s">
        <v>333</v>
      </c>
      <c r="G100" s="524" t="s">
        <v>334</v>
      </c>
      <c r="H100" s="525"/>
      <c r="I100" s="526"/>
      <c r="J100" s="130" t="s">
        <v>108</v>
      </c>
      <c r="K100" s="130"/>
      <c r="L100" s="130" t="s">
        <v>28</v>
      </c>
      <c r="M100" s="65">
        <v>680</v>
      </c>
    </row>
    <row r="101" spans="1:13" s="152" customFormat="1" ht="23.25" thickBot="1">
      <c r="A101" s="521"/>
      <c r="B101" s="153" t="s">
        <v>29</v>
      </c>
      <c r="C101" s="153" t="s">
        <v>30</v>
      </c>
      <c r="D101" s="153" t="s">
        <v>31</v>
      </c>
      <c r="E101" s="527" t="s">
        <v>32</v>
      </c>
      <c r="F101" s="527"/>
      <c r="G101" s="529"/>
      <c r="H101" s="530"/>
      <c r="I101" s="531"/>
      <c r="J101" s="131" t="s">
        <v>40</v>
      </c>
      <c r="K101" s="132"/>
      <c r="L101" s="132"/>
      <c r="M101" s="24"/>
    </row>
    <row r="102" spans="1:13" s="152" customFormat="1" ht="23.25" thickBot="1">
      <c r="A102" s="522"/>
      <c r="B102" s="133" t="s">
        <v>335</v>
      </c>
      <c r="C102" s="133" t="s">
        <v>336</v>
      </c>
      <c r="D102" s="144">
        <v>43209</v>
      </c>
      <c r="E102" s="135" t="s">
        <v>36</v>
      </c>
      <c r="F102" s="25" t="s">
        <v>337</v>
      </c>
      <c r="G102" s="539"/>
      <c r="H102" s="540"/>
      <c r="I102" s="541"/>
      <c r="J102" s="131" t="s">
        <v>41</v>
      </c>
      <c r="K102" s="132"/>
      <c r="L102" s="132"/>
      <c r="M102" s="24"/>
    </row>
    <row r="103" spans="1:13" s="152" customFormat="1" ht="24" customHeight="1" thickTop="1" thickBot="1">
      <c r="A103" s="518">
        <f>A99+1</f>
        <v>21</v>
      </c>
      <c r="B103" s="150" t="s">
        <v>19</v>
      </c>
      <c r="C103" s="150" t="s">
        <v>20</v>
      </c>
      <c r="D103" s="150" t="s">
        <v>21</v>
      </c>
      <c r="E103" s="523" t="s">
        <v>22</v>
      </c>
      <c r="F103" s="523"/>
      <c r="G103" s="523" t="s">
        <v>12</v>
      </c>
      <c r="H103" s="528"/>
      <c r="I103" s="164"/>
      <c r="J103" s="126" t="s">
        <v>39</v>
      </c>
      <c r="K103" s="127"/>
      <c r="L103" s="127"/>
      <c r="M103" s="22"/>
    </row>
    <row r="104" spans="1:13" s="152" customFormat="1" ht="15.75" thickBot="1">
      <c r="A104" s="521"/>
      <c r="B104" s="128" t="s">
        <v>314</v>
      </c>
      <c r="C104" s="128" t="s">
        <v>315</v>
      </c>
      <c r="D104" s="129">
        <v>43303</v>
      </c>
      <c r="E104" s="128"/>
      <c r="F104" s="128" t="s">
        <v>212</v>
      </c>
      <c r="G104" s="524" t="s">
        <v>316</v>
      </c>
      <c r="H104" s="525"/>
      <c r="I104" s="526"/>
      <c r="J104" s="130" t="s">
        <v>108</v>
      </c>
      <c r="K104" s="130"/>
      <c r="L104" s="130" t="s">
        <v>28</v>
      </c>
      <c r="M104" s="65">
        <v>1625</v>
      </c>
    </row>
    <row r="105" spans="1:13" s="152" customFormat="1" ht="34.5" thickBot="1">
      <c r="A105" s="521"/>
      <c r="B105" s="153" t="s">
        <v>29</v>
      </c>
      <c r="C105" s="153" t="s">
        <v>30</v>
      </c>
      <c r="D105" s="153" t="s">
        <v>31</v>
      </c>
      <c r="E105" s="527" t="s">
        <v>32</v>
      </c>
      <c r="F105" s="527"/>
      <c r="G105" s="529"/>
      <c r="H105" s="530"/>
      <c r="I105" s="531"/>
      <c r="J105" s="131" t="s">
        <v>317</v>
      </c>
      <c r="K105" s="132"/>
      <c r="L105" s="132" t="s">
        <v>28</v>
      </c>
      <c r="M105" s="66">
        <v>675</v>
      </c>
    </row>
    <row r="106" spans="1:13" s="152" customFormat="1" ht="34.5" thickBot="1">
      <c r="A106" s="522"/>
      <c r="B106" s="133" t="s">
        <v>318</v>
      </c>
      <c r="C106" s="133" t="s">
        <v>316</v>
      </c>
      <c r="D106" s="144">
        <v>43306</v>
      </c>
      <c r="E106" s="135" t="s">
        <v>36</v>
      </c>
      <c r="F106" s="25" t="s">
        <v>319</v>
      </c>
      <c r="G106" s="539"/>
      <c r="H106" s="540"/>
      <c r="I106" s="541"/>
      <c r="J106" s="131" t="s">
        <v>41</v>
      </c>
      <c r="K106" s="132"/>
      <c r="L106" s="132"/>
      <c r="M106" s="24"/>
    </row>
    <row r="107" spans="1:13" s="152" customFormat="1" ht="24" customHeight="1" thickTop="1" thickBot="1">
      <c r="A107" s="518">
        <f>A103+1</f>
        <v>22</v>
      </c>
      <c r="B107" s="150" t="s">
        <v>19</v>
      </c>
      <c r="C107" s="150" t="s">
        <v>20</v>
      </c>
      <c r="D107" s="150" t="s">
        <v>21</v>
      </c>
      <c r="E107" s="523" t="s">
        <v>22</v>
      </c>
      <c r="F107" s="523"/>
      <c r="G107" s="523" t="s">
        <v>12</v>
      </c>
      <c r="H107" s="528"/>
      <c r="I107" s="164"/>
      <c r="J107" s="126" t="s">
        <v>39</v>
      </c>
      <c r="K107" s="127"/>
      <c r="L107" s="127"/>
      <c r="M107" s="22"/>
    </row>
    <row r="108" spans="1:13" s="152" customFormat="1" ht="34.5" thickBot="1">
      <c r="A108" s="521"/>
      <c r="B108" s="128" t="s">
        <v>320</v>
      </c>
      <c r="C108" s="128" t="s">
        <v>321</v>
      </c>
      <c r="D108" s="129">
        <v>43319</v>
      </c>
      <c r="E108" s="128"/>
      <c r="F108" s="128" t="s">
        <v>322</v>
      </c>
      <c r="G108" s="524" t="s">
        <v>323</v>
      </c>
      <c r="H108" s="525"/>
      <c r="I108" s="526"/>
      <c r="J108" s="130" t="s">
        <v>108</v>
      </c>
      <c r="K108" s="130"/>
      <c r="L108" s="130" t="s">
        <v>28</v>
      </c>
      <c r="M108" s="65">
        <v>158</v>
      </c>
    </row>
    <row r="109" spans="1:13" s="152" customFormat="1" ht="23.25" thickBot="1">
      <c r="A109" s="521"/>
      <c r="B109" s="153" t="s">
        <v>29</v>
      </c>
      <c r="C109" s="153" t="s">
        <v>30</v>
      </c>
      <c r="D109" s="153" t="s">
        <v>31</v>
      </c>
      <c r="E109" s="527" t="s">
        <v>32</v>
      </c>
      <c r="F109" s="527"/>
      <c r="G109" s="529"/>
      <c r="H109" s="530"/>
      <c r="I109" s="531"/>
      <c r="J109" s="131" t="s">
        <v>33</v>
      </c>
      <c r="K109" s="132"/>
      <c r="L109" s="132" t="s">
        <v>28</v>
      </c>
      <c r="M109" s="66">
        <v>180</v>
      </c>
    </row>
    <row r="110" spans="1:13" s="152" customFormat="1" ht="15.75" thickBot="1">
      <c r="A110" s="522"/>
      <c r="B110" s="133" t="s">
        <v>324</v>
      </c>
      <c r="C110" s="133" t="s">
        <v>323</v>
      </c>
      <c r="D110" s="144">
        <v>43319</v>
      </c>
      <c r="E110" s="135" t="s">
        <v>36</v>
      </c>
      <c r="F110" s="136">
        <v>43319</v>
      </c>
      <c r="G110" s="539"/>
      <c r="H110" s="540"/>
      <c r="I110" s="541"/>
      <c r="J110" s="131" t="s">
        <v>41</v>
      </c>
      <c r="K110" s="132"/>
      <c r="L110" s="132"/>
      <c r="M110" s="24"/>
    </row>
    <row r="111" spans="1:13" s="152" customFormat="1" ht="24" customHeight="1" thickTop="1" thickBot="1">
      <c r="A111" s="518">
        <f>A107+1</f>
        <v>23</v>
      </c>
      <c r="B111" s="150" t="s">
        <v>19</v>
      </c>
      <c r="C111" s="150" t="s">
        <v>20</v>
      </c>
      <c r="D111" s="150" t="s">
        <v>21</v>
      </c>
      <c r="E111" s="523" t="s">
        <v>22</v>
      </c>
      <c r="F111" s="523"/>
      <c r="G111" s="523" t="s">
        <v>12</v>
      </c>
      <c r="H111" s="528"/>
      <c r="I111" s="164"/>
      <c r="J111" s="126" t="s">
        <v>39</v>
      </c>
      <c r="K111" s="127"/>
      <c r="L111" s="127"/>
      <c r="M111" s="22"/>
    </row>
    <row r="112" spans="1:13" s="152" customFormat="1" ht="23.25" thickBot="1">
      <c r="A112" s="521"/>
      <c r="B112" s="128" t="s">
        <v>325</v>
      </c>
      <c r="C112" s="128" t="s">
        <v>326</v>
      </c>
      <c r="D112" s="129">
        <v>43371</v>
      </c>
      <c r="E112" s="128"/>
      <c r="F112" s="128" t="s">
        <v>327</v>
      </c>
      <c r="G112" s="524" t="s">
        <v>329</v>
      </c>
      <c r="H112" s="525"/>
      <c r="I112" s="526"/>
      <c r="J112" s="130" t="s">
        <v>108</v>
      </c>
      <c r="K112" s="130"/>
      <c r="L112" s="130" t="s">
        <v>28</v>
      </c>
      <c r="M112" s="65">
        <v>500</v>
      </c>
    </row>
    <row r="113" spans="1:13" s="152" customFormat="1" ht="23.25" thickBot="1">
      <c r="A113" s="521"/>
      <c r="B113" s="153" t="s">
        <v>29</v>
      </c>
      <c r="C113" s="153" t="s">
        <v>30</v>
      </c>
      <c r="D113" s="153" t="s">
        <v>31</v>
      </c>
      <c r="E113" s="527" t="s">
        <v>32</v>
      </c>
      <c r="F113" s="527"/>
      <c r="G113" s="529"/>
      <c r="H113" s="530"/>
      <c r="I113" s="531"/>
      <c r="J113" s="131" t="s">
        <v>33</v>
      </c>
      <c r="K113" s="132"/>
      <c r="L113" s="132" t="s">
        <v>28</v>
      </c>
      <c r="M113" s="66">
        <v>600</v>
      </c>
    </row>
    <row r="114" spans="1:13" s="152" customFormat="1" ht="23.25" thickBot="1">
      <c r="A114" s="522"/>
      <c r="B114" s="133" t="s">
        <v>328</v>
      </c>
      <c r="C114" s="133" t="s">
        <v>329</v>
      </c>
      <c r="D114" s="144">
        <v>43372</v>
      </c>
      <c r="E114" s="135" t="s">
        <v>36</v>
      </c>
      <c r="F114" s="25" t="s">
        <v>330</v>
      </c>
      <c r="G114" s="539"/>
      <c r="H114" s="540"/>
      <c r="I114" s="541"/>
      <c r="J114" s="131" t="s">
        <v>38</v>
      </c>
      <c r="K114" s="132"/>
      <c r="L114" s="132" t="s">
        <v>28</v>
      </c>
      <c r="M114" s="66">
        <v>200</v>
      </c>
    </row>
    <row r="115" spans="1:13" s="152" customFormat="1" ht="24" customHeight="1" thickTop="1" thickBot="1">
      <c r="A115" s="518">
        <f>A111+1</f>
        <v>24</v>
      </c>
      <c r="B115" s="150" t="s">
        <v>19</v>
      </c>
      <c r="C115" s="150" t="s">
        <v>20</v>
      </c>
      <c r="D115" s="150" t="s">
        <v>21</v>
      </c>
      <c r="E115" s="523" t="s">
        <v>22</v>
      </c>
      <c r="F115" s="523"/>
      <c r="G115" s="523" t="s">
        <v>12</v>
      </c>
      <c r="H115" s="528"/>
      <c r="I115" s="164"/>
      <c r="J115" s="126" t="s">
        <v>39</v>
      </c>
      <c r="K115" s="127"/>
      <c r="L115" s="127"/>
      <c r="M115" s="22"/>
    </row>
    <row r="116" spans="1:13" s="152" customFormat="1" ht="34.5" thickBot="1">
      <c r="A116" s="521"/>
      <c r="B116" s="128" t="s">
        <v>331</v>
      </c>
      <c r="C116" s="128" t="s">
        <v>332</v>
      </c>
      <c r="D116" s="129">
        <v>43207</v>
      </c>
      <c r="E116" s="128"/>
      <c r="F116" s="128" t="s">
        <v>333</v>
      </c>
      <c r="G116" s="524" t="s">
        <v>334</v>
      </c>
      <c r="H116" s="525"/>
      <c r="I116" s="526"/>
      <c r="J116" s="130" t="s">
        <v>108</v>
      </c>
      <c r="K116" s="130"/>
      <c r="L116" s="130" t="s">
        <v>28</v>
      </c>
      <c r="M116" s="65">
        <v>680</v>
      </c>
    </row>
    <row r="117" spans="1:13" s="152" customFormat="1" ht="23.25" thickBot="1">
      <c r="A117" s="521"/>
      <c r="B117" s="153" t="s">
        <v>29</v>
      </c>
      <c r="C117" s="153" t="s">
        <v>30</v>
      </c>
      <c r="D117" s="153" t="s">
        <v>31</v>
      </c>
      <c r="E117" s="527" t="s">
        <v>32</v>
      </c>
      <c r="F117" s="527"/>
      <c r="G117" s="529"/>
      <c r="H117" s="530"/>
      <c r="I117" s="531"/>
      <c r="J117" s="131" t="s">
        <v>40</v>
      </c>
      <c r="K117" s="132"/>
      <c r="L117" s="132"/>
      <c r="M117" s="24"/>
    </row>
    <row r="118" spans="1:13" s="152" customFormat="1" ht="23.25" thickBot="1">
      <c r="A118" s="522"/>
      <c r="B118" s="133" t="s">
        <v>335</v>
      </c>
      <c r="C118" s="133" t="s">
        <v>336</v>
      </c>
      <c r="D118" s="144">
        <v>43209</v>
      </c>
      <c r="E118" s="135" t="s">
        <v>36</v>
      </c>
      <c r="F118" s="25" t="s">
        <v>337</v>
      </c>
      <c r="G118" s="539"/>
      <c r="H118" s="540"/>
      <c r="I118" s="541"/>
      <c r="J118" s="131" t="s">
        <v>41</v>
      </c>
      <c r="K118" s="132"/>
      <c r="L118" s="132"/>
      <c r="M118" s="24"/>
    </row>
    <row r="119" spans="1:13" s="152" customFormat="1" ht="24" customHeight="1" thickTop="1" thickBot="1">
      <c r="A119" s="518">
        <f>A115+1</f>
        <v>25</v>
      </c>
      <c r="B119" s="150" t="s">
        <v>19</v>
      </c>
      <c r="C119" s="150" t="s">
        <v>20</v>
      </c>
      <c r="D119" s="150" t="s">
        <v>21</v>
      </c>
      <c r="E119" s="523" t="s">
        <v>22</v>
      </c>
      <c r="F119" s="523"/>
      <c r="G119" s="565" t="s">
        <v>12</v>
      </c>
      <c r="H119" s="566"/>
      <c r="I119" s="567"/>
      <c r="J119" s="126" t="s">
        <v>39</v>
      </c>
      <c r="K119" s="127"/>
      <c r="L119" s="127"/>
      <c r="M119" s="137"/>
    </row>
    <row r="120" spans="1:13" s="152" customFormat="1" ht="45.75" thickBot="1">
      <c r="A120" s="521"/>
      <c r="B120" s="128" t="s">
        <v>338</v>
      </c>
      <c r="C120" s="128" t="s">
        <v>339</v>
      </c>
      <c r="D120" s="129">
        <v>43362</v>
      </c>
      <c r="E120" s="128"/>
      <c r="F120" s="128" t="s">
        <v>112</v>
      </c>
      <c r="G120" s="524" t="s">
        <v>340</v>
      </c>
      <c r="H120" s="585"/>
      <c r="I120" s="586"/>
      <c r="J120" s="130" t="s">
        <v>163</v>
      </c>
      <c r="K120" s="130"/>
      <c r="L120" s="130" t="s">
        <v>28</v>
      </c>
      <c r="M120" s="23">
        <v>327.08</v>
      </c>
    </row>
    <row r="121" spans="1:13" s="152" customFormat="1" ht="23.25" thickBot="1">
      <c r="A121" s="521"/>
      <c r="B121" s="153" t="s">
        <v>29</v>
      </c>
      <c r="C121" s="153" t="s">
        <v>30</v>
      </c>
      <c r="D121" s="153" t="s">
        <v>31</v>
      </c>
      <c r="E121" s="580" t="s">
        <v>32</v>
      </c>
      <c r="F121" s="581"/>
      <c r="G121" s="529"/>
      <c r="H121" s="530"/>
      <c r="I121" s="531"/>
      <c r="J121" s="131" t="s">
        <v>27</v>
      </c>
      <c r="K121" s="132"/>
      <c r="L121" s="132" t="s">
        <v>28</v>
      </c>
      <c r="M121" s="138">
        <v>1146</v>
      </c>
    </row>
    <row r="122" spans="1:13" s="152" customFormat="1" ht="23.25" thickBot="1">
      <c r="A122" s="522"/>
      <c r="B122" s="133" t="s">
        <v>341</v>
      </c>
      <c r="C122" s="133" t="s">
        <v>342</v>
      </c>
      <c r="D122" s="144">
        <v>43365</v>
      </c>
      <c r="E122" s="135" t="s">
        <v>36</v>
      </c>
      <c r="F122" s="136" t="s">
        <v>343</v>
      </c>
      <c r="G122" s="582"/>
      <c r="H122" s="583"/>
      <c r="I122" s="584"/>
      <c r="J122" s="131" t="s">
        <v>41</v>
      </c>
      <c r="K122" s="132"/>
      <c r="L122" s="132"/>
      <c r="M122" s="138"/>
    </row>
    <row r="123" spans="1:13" s="152" customFormat="1" ht="24" customHeight="1" thickTop="1" thickBot="1">
      <c r="A123" s="518">
        <f>A119+1</f>
        <v>26</v>
      </c>
      <c r="B123" s="150" t="s">
        <v>19</v>
      </c>
      <c r="C123" s="150" t="s">
        <v>20</v>
      </c>
      <c r="D123" s="150" t="s">
        <v>21</v>
      </c>
      <c r="E123" s="528" t="s">
        <v>22</v>
      </c>
      <c r="F123" s="579"/>
      <c r="G123" s="528" t="s">
        <v>12</v>
      </c>
      <c r="H123" s="593"/>
      <c r="I123" s="164"/>
      <c r="J123" s="126" t="s">
        <v>39</v>
      </c>
      <c r="K123" s="127"/>
      <c r="L123" s="127"/>
      <c r="M123" s="137"/>
    </row>
    <row r="124" spans="1:13" s="152" customFormat="1" ht="45.75" thickBot="1">
      <c r="A124" s="521"/>
      <c r="B124" s="128" t="s">
        <v>344</v>
      </c>
      <c r="C124" s="128" t="s">
        <v>339</v>
      </c>
      <c r="D124" s="129">
        <v>43362</v>
      </c>
      <c r="E124" s="128"/>
      <c r="F124" s="128" t="s">
        <v>112</v>
      </c>
      <c r="G124" s="524" t="s">
        <v>340</v>
      </c>
      <c r="H124" s="585"/>
      <c r="I124" s="586"/>
      <c r="J124" s="130" t="s">
        <v>163</v>
      </c>
      <c r="K124" s="130"/>
      <c r="L124" s="130" t="s">
        <v>28</v>
      </c>
      <c r="M124" s="30">
        <v>404.27</v>
      </c>
    </row>
    <row r="125" spans="1:13" s="152" customFormat="1" ht="23.25" thickBot="1">
      <c r="A125" s="521"/>
      <c r="B125" s="153" t="s">
        <v>29</v>
      </c>
      <c r="C125" s="153" t="s">
        <v>30</v>
      </c>
      <c r="D125" s="153" t="s">
        <v>31</v>
      </c>
      <c r="E125" s="580" t="s">
        <v>32</v>
      </c>
      <c r="F125" s="581"/>
      <c r="G125" s="529"/>
      <c r="H125" s="530"/>
      <c r="I125" s="531"/>
      <c r="J125" s="131" t="s">
        <v>27</v>
      </c>
      <c r="K125" s="132"/>
      <c r="L125" s="132" t="s">
        <v>28</v>
      </c>
      <c r="M125" s="139">
        <v>378.18</v>
      </c>
    </row>
    <row r="126" spans="1:13" s="152" customFormat="1" ht="15.75" thickBot="1">
      <c r="A126" s="522"/>
      <c r="B126" s="134" t="s">
        <v>341</v>
      </c>
      <c r="C126" s="134"/>
      <c r="D126" s="144">
        <v>43365</v>
      </c>
      <c r="E126" s="135" t="s">
        <v>36</v>
      </c>
      <c r="F126" s="140" t="s">
        <v>343</v>
      </c>
      <c r="G126" s="539"/>
      <c r="H126" s="540"/>
      <c r="I126" s="541"/>
      <c r="J126" s="141" t="s">
        <v>41</v>
      </c>
      <c r="K126" s="142"/>
      <c r="L126" s="142"/>
      <c r="M126" s="143"/>
    </row>
    <row r="127" spans="1:13" s="152" customFormat="1" ht="24" customHeight="1" thickTop="1" thickBot="1">
      <c r="A127" s="518">
        <f>A123+1</f>
        <v>27</v>
      </c>
      <c r="B127" s="150" t="s">
        <v>19</v>
      </c>
      <c r="C127" s="150" t="s">
        <v>20</v>
      </c>
      <c r="D127" s="150" t="s">
        <v>21</v>
      </c>
      <c r="E127" s="523" t="s">
        <v>22</v>
      </c>
      <c r="F127" s="523"/>
      <c r="G127" s="523" t="s">
        <v>12</v>
      </c>
      <c r="H127" s="528"/>
      <c r="I127" s="164"/>
      <c r="J127" s="126" t="s">
        <v>39</v>
      </c>
      <c r="K127" s="127"/>
      <c r="L127" s="127"/>
      <c r="M127" s="22"/>
    </row>
    <row r="128" spans="1:13" s="152" customFormat="1" ht="34.5" thickBot="1">
      <c r="A128" s="521"/>
      <c r="B128" s="128" t="s">
        <v>345</v>
      </c>
      <c r="C128" s="128" t="s">
        <v>346</v>
      </c>
      <c r="D128" s="129">
        <v>43291</v>
      </c>
      <c r="E128" s="128"/>
      <c r="F128" s="128" t="s">
        <v>347</v>
      </c>
      <c r="G128" s="524" t="s">
        <v>348</v>
      </c>
      <c r="H128" s="525"/>
      <c r="I128" s="526"/>
      <c r="J128" s="130" t="s">
        <v>163</v>
      </c>
      <c r="K128" s="130"/>
      <c r="L128" s="130" t="s">
        <v>28</v>
      </c>
      <c r="M128" s="23">
        <v>523.1</v>
      </c>
    </row>
    <row r="129" spans="1:13" s="152" customFormat="1" ht="23.25" thickBot="1">
      <c r="A129" s="521"/>
      <c r="B129" s="153" t="s">
        <v>29</v>
      </c>
      <c r="C129" s="153" t="s">
        <v>30</v>
      </c>
      <c r="D129" s="153" t="s">
        <v>31</v>
      </c>
      <c r="E129" s="527" t="s">
        <v>32</v>
      </c>
      <c r="F129" s="527"/>
      <c r="G129" s="529"/>
      <c r="H129" s="530"/>
      <c r="I129" s="531"/>
      <c r="J129" s="131"/>
      <c r="K129" s="132"/>
      <c r="L129" s="132"/>
      <c r="M129" s="24"/>
    </row>
    <row r="130" spans="1:13" s="152" customFormat="1" ht="45.75" thickBot="1">
      <c r="A130" s="522"/>
      <c r="B130" s="133" t="s">
        <v>341</v>
      </c>
      <c r="C130" s="133" t="s">
        <v>349</v>
      </c>
      <c r="D130" s="144">
        <v>43293</v>
      </c>
      <c r="E130" s="135" t="s">
        <v>36</v>
      </c>
      <c r="F130" s="25" t="s">
        <v>350</v>
      </c>
      <c r="G130" s="539"/>
      <c r="H130" s="540"/>
      <c r="I130" s="541"/>
      <c r="J130" s="131"/>
      <c r="K130" s="132"/>
      <c r="L130" s="132"/>
      <c r="M130" s="24"/>
    </row>
    <row r="131" spans="1:13" s="152" customFormat="1" ht="24" customHeight="1" thickTop="1" thickBot="1">
      <c r="A131" s="518">
        <f>A127+1</f>
        <v>28</v>
      </c>
      <c r="B131" s="150" t="s">
        <v>19</v>
      </c>
      <c r="C131" s="150" t="s">
        <v>20</v>
      </c>
      <c r="D131" s="150" t="s">
        <v>21</v>
      </c>
      <c r="E131" s="523" t="s">
        <v>22</v>
      </c>
      <c r="F131" s="523"/>
      <c r="G131" s="523" t="s">
        <v>12</v>
      </c>
      <c r="H131" s="528"/>
      <c r="I131" s="164"/>
      <c r="J131" s="126" t="s">
        <v>39</v>
      </c>
      <c r="K131" s="127"/>
      <c r="L131" s="127"/>
      <c r="M131" s="22"/>
    </row>
    <row r="132" spans="1:13" s="152" customFormat="1" ht="45.75" thickBot="1">
      <c r="A132" s="521"/>
      <c r="B132" s="128" t="s">
        <v>351</v>
      </c>
      <c r="C132" s="128" t="s">
        <v>352</v>
      </c>
      <c r="D132" s="129">
        <v>43277</v>
      </c>
      <c r="E132" s="128"/>
      <c r="F132" s="128" t="s">
        <v>176</v>
      </c>
      <c r="G132" s="524" t="s">
        <v>353</v>
      </c>
      <c r="H132" s="525"/>
      <c r="I132" s="526"/>
      <c r="J132" s="130" t="s">
        <v>27</v>
      </c>
      <c r="K132" s="130" t="s">
        <v>28</v>
      </c>
      <c r="L132" s="130"/>
      <c r="M132" s="23">
        <v>480</v>
      </c>
    </row>
    <row r="133" spans="1:13" s="152" customFormat="1" ht="23.25" thickBot="1">
      <c r="A133" s="521"/>
      <c r="B133" s="153" t="s">
        <v>29</v>
      </c>
      <c r="C133" s="153" t="s">
        <v>30</v>
      </c>
      <c r="D133" s="153" t="s">
        <v>31</v>
      </c>
      <c r="E133" s="527" t="s">
        <v>32</v>
      </c>
      <c r="F133" s="527"/>
      <c r="G133" s="529"/>
      <c r="H133" s="530"/>
      <c r="I133" s="531"/>
      <c r="J133" s="131" t="s">
        <v>38</v>
      </c>
      <c r="K133" s="132" t="s">
        <v>28</v>
      </c>
      <c r="L133" s="132"/>
      <c r="M133" s="24">
        <v>135</v>
      </c>
    </row>
    <row r="134" spans="1:13" s="152" customFormat="1" ht="23.25" thickBot="1">
      <c r="A134" s="522"/>
      <c r="B134" s="133" t="s">
        <v>341</v>
      </c>
      <c r="C134" s="133" t="s">
        <v>353</v>
      </c>
      <c r="D134" s="144">
        <v>43283</v>
      </c>
      <c r="E134" s="135" t="s">
        <v>36</v>
      </c>
      <c r="F134" s="25" t="s">
        <v>354</v>
      </c>
      <c r="G134" s="539"/>
      <c r="H134" s="540"/>
      <c r="I134" s="541"/>
      <c r="J134" s="131" t="s">
        <v>355</v>
      </c>
      <c r="K134" s="132" t="s">
        <v>28</v>
      </c>
      <c r="L134" s="132"/>
      <c r="M134" s="24">
        <v>461.33</v>
      </c>
    </row>
    <row r="135" spans="1:13" s="152" customFormat="1" ht="24" customHeight="1" thickTop="1" thickBot="1">
      <c r="A135" s="518">
        <f>A131+1</f>
        <v>29</v>
      </c>
      <c r="B135" s="150" t="s">
        <v>19</v>
      </c>
      <c r="C135" s="150" t="s">
        <v>20</v>
      </c>
      <c r="D135" s="150" t="s">
        <v>21</v>
      </c>
      <c r="E135" s="523" t="s">
        <v>22</v>
      </c>
      <c r="F135" s="523"/>
      <c r="G135" s="523" t="s">
        <v>12</v>
      </c>
      <c r="H135" s="528"/>
      <c r="I135" s="164"/>
      <c r="J135" s="126" t="s">
        <v>39</v>
      </c>
      <c r="K135" s="127"/>
      <c r="L135" s="127"/>
      <c r="M135" s="22"/>
    </row>
    <row r="136" spans="1:13" s="152" customFormat="1" ht="23.25" thickBot="1">
      <c r="A136" s="521"/>
      <c r="B136" s="128" t="s">
        <v>356</v>
      </c>
      <c r="C136" s="128" t="s">
        <v>357</v>
      </c>
      <c r="D136" s="144">
        <v>43349</v>
      </c>
      <c r="E136" s="128"/>
      <c r="F136" s="128" t="s">
        <v>178</v>
      </c>
      <c r="G136" s="524" t="s">
        <v>358</v>
      </c>
      <c r="H136" s="525"/>
      <c r="I136" s="526"/>
      <c r="J136" s="130" t="s">
        <v>163</v>
      </c>
      <c r="K136" s="130"/>
      <c r="L136" s="130" t="s">
        <v>28</v>
      </c>
      <c r="M136" s="23">
        <v>664.1</v>
      </c>
    </row>
    <row r="137" spans="1:13" s="152" customFormat="1" ht="24" thickTop="1" thickBot="1">
      <c r="A137" s="521"/>
      <c r="B137" s="153" t="s">
        <v>29</v>
      </c>
      <c r="C137" s="153" t="s">
        <v>30</v>
      </c>
      <c r="D137" s="153" t="s">
        <v>31</v>
      </c>
      <c r="E137" s="527" t="s">
        <v>32</v>
      </c>
      <c r="F137" s="527"/>
      <c r="G137" s="529"/>
      <c r="H137" s="530"/>
      <c r="I137" s="531"/>
      <c r="J137" s="131" t="s">
        <v>38</v>
      </c>
      <c r="K137" s="132"/>
      <c r="L137" s="132" t="s">
        <v>28</v>
      </c>
      <c r="M137" s="24">
        <v>74</v>
      </c>
    </row>
    <row r="138" spans="1:13" s="152" customFormat="1" ht="23.25" thickBot="1">
      <c r="A138" s="522"/>
      <c r="B138" s="134" t="s">
        <v>341</v>
      </c>
      <c r="C138" s="134" t="s">
        <v>359</v>
      </c>
      <c r="D138" s="144">
        <v>43351</v>
      </c>
      <c r="E138" s="135" t="s">
        <v>36</v>
      </c>
      <c r="F138" s="140" t="s">
        <v>360</v>
      </c>
      <c r="G138" s="539"/>
      <c r="H138" s="540"/>
      <c r="I138" s="541"/>
      <c r="J138" s="141" t="s">
        <v>27</v>
      </c>
      <c r="K138" s="142"/>
      <c r="L138" s="142" t="s">
        <v>28</v>
      </c>
      <c r="M138" s="36">
        <v>1250</v>
      </c>
    </row>
    <row r="139" spans="1:13" s="152" customFormat="1" ht="24" customHeight="1" thickTop="1" thickBot="1">
      <c r="A139" s="518">
        <f>A135+1</f>
        <v>30</v>
      </c>
      <c r="B139" s="150" t="s">
        <v>19</v>
      </c>
      <c r="C139" s="150" t="s">
        <v>20</v>
      </c>
      <c r="D139" s="150" t="s">
        <v>21</v>
      </c>
      <c r="E139" s="523" t="s">
        <v>22</v>
      </c>
      <c r="F139" s="523"/>
      <c r="G139" s="523" t="s">
        <v>12</v>
      </c>
      <c r="H139" s="528"/>
      <c r="I139" s="164"/>
      <c r="J139" s="126" t="s">
        <v>39</v>
      </c>
      <c r="K139" s="127"/>
      <c r="L139" s="127"/>
      <c r="M139" s="22"/>
    </row>
    <row r="140" spans="1:13" s="152" customFormat="1" ht="23.25" thickBot="1">
      <c r="A140" s="521"/>
      <c r="B140" s="128" t="s">
        <v>361</v>
      </c>
      <c r="C140" s="128" t="s">
        <v>362</v>
      </c>
      <c r="D140" s="129">
        <v>43303</v>
      </c>
      <c r="E140" s="128"/>
      <c r="F140" s="128" t="s">
        <v>232</v>
      </c>
      <c r="G140" s="524" t="s">
        <v>363</v>
      </c>
      <c r="H140" s="525"/>
      <c r="I140" s="526"/>
      <c r="J140" s="130" t="s">
        <v>163</v>
      </c>
      <c r="K140" s="130"/>
      <c r="L140" s="130" t="s">
        <v>28</v>
      </c>
      <c r="M140" s="23">
        <v>155</v>
      </c>
    </row>
    <row r="141" spans="1:13" s="152" customFormat="1" ht="23.25" thickBot="1">
      <c r="A141" s="521"/>
      <c r="B141" s="153" t="s">
        <v>29</v>
      </c>
      <c r="C141" s="153" t="s">
        <v>30</v>
      </c>
      <c r="D141" s="153" t="s">
        <v>31</v>
      </c>
      <c r="E141" s="527" t="s">
        <v>32</v>
      </c>
      <c r="F141" s="527"/>
      <c r="G141" s="529"/>
      <c r="H141" s="530"/>
      <c r="I141" s="531"/>
      <c r="J141" s="131" t="s">
        <v>27</v>
      </c>
      <c r="K141" s="132"/>
      <c r="L141" s="132" t="s">
        <v>28</v>
      </c>
      <c r="M141" s="24">
        <v>650</v>
      </c>
    </row>
    <row r="142" spans="1:13" s="152" customFormat="1" ht="15.75" thickBot="1">
      <c r="A142" s="521"/>
      <c r="B142" s="153"/>
      <c r="C142" s="153"/>
      <c r="D142" s="153"/>
      <c r="E142" s="153"/>
      <c r="F142" s="153"/>
      <c r="G142" s="154"/>
      <c r="H142" s="155"/>
      <c r="I142" s="156"/>
      <c r="J142" s="131" t="s">
        <v>190</v>
      </c>
      <c r="K142" s="132"/>
      <c r="L142" s="132" t="s">
        <v>28</v>
      </c>
      <c r="M142" s="24">
        <v>150</v>
      </c>
    </row>
    <row r="143" spans="1:13" s="152" customFormat="1" ht="23.25" thickBot="1">
      <c r="A143" s="522"/>
      <c r="B143" s="133" t="s">
        <v>341</v>
      </c>
      <c r="C143" s="133" t="s">
        <v>363</v>
      </c>
      <c r="D143" s="144">
        <v>43308</v>
      </c>
      <c r="E143" s="135" t="s">
        <v>36</v>
      </c>
      <c r="F143" s="25" t="s">
        <v>364</v>
      </c>
      <c r="G143" s="539"/>
      <c r="H143" s="540"/>
      <c r="I143" s="541"/>
      <c r="J143" s="131" t="s">
        <v>38</v>
      </c>
      <c r="K143" s="132" t="s">
        <v>28</v>
      </c>
      <c r="L143" s="132"/>
      <c r="M143" s="24">
        <v>217</v>
      </c>
    </row>
    <row r="144" spans="1:13" s="152" customFormat="1" ht="24" customHeight="1" thickTop="1" thickBot="1">
      <c r="A144" s="518">
        <f>A139+1</f>
        <v>31</v>
      </c>
      <c r="B144" s="150" t="s">
        <v>19</v>
      </c>
      <c r="C144" s="150" t="s">
        <v>20</v>
      </c>
      <c r="D144" s="150" t="s">
        <v>21</v>
      </c>
      <c r="E144" s="523" t="s">
        <v>22</v>
      </c>
      <c r="F144" s="523"/>
      <c r="G144" s="523" t="s">
        <v>12</v>
      </c>
      <c r="H144" s="528"/>
      <c r="I144" s="164"/>
      <c r="J144" s="126" t="s">
        <v>39</v>
      </c>
      <c r="K144" s="127"/>
      <c r="L144" s="127"/>
      <c r="M144" s="22"/>
    </row>
    <row r="145" spans="1:13" s="152" customFormat="1" ht="34.5" thickBot="1">
      <c r="A145" s="521"/>
      <c r="B145" s="128" t="s">
        <v>365</v>
      </c>
      <c r="C145" s="128" t="s">
        <v>366</v>
      </c>
      <c r="D145" s="129">
        <v>43213</v>
      </c>
      <c r="E145" s="128"/>
      <c r="F145" s="128" t="s">
        <v>367</v>
      </c>
      <c r="G145" s="524" t="s">
        <v>368</v>
      </c>
      <c r="H145" s="525"/>
      <c r="I145" s="526"/>
      <c r="J145" s="130" t="s">
        <v>163</v>
      </c>
      <c r="K145" s="130" t="s">
        <v>28</v>
      </c>
      <c r="L145" s="130"/>
      <c r="M145" s="23">
        <v>376.4</v>
      </c>
    </row>
    <row r="146" spans="1:13" s="152" customFormat="1" ht="23.25" thickBot="1">
      <c r="A146" s="521"/>
      <c r="B146" s="153" t="s">
        <v>29</v>
      </c>
      <c r="C146" s="153" t="s">
        <v>30</v>
      </c>
      <c r="D146" s="153" t="s">
        <v>31</v>
      </c>
      <c r="E146" s="527" t="s">
        <v>32</v>
      </c>
      <c r="F146" s="527"/>
      <c r="G146" s="529"/>
      <c r="H146" s="530"/>
      <c r="I146" s="531"/>
      <c r="J146" s="131" t="s">
        <v>27</v>
      </c>
      <c r="K146" s="132" t="s">
        <v>28</v>
      </c>
      <c r="L146" s="132"/>
      <c r="M146" s="24">
        <v>534.67999999999995</v>
      </c>
    </row>
    <row r="147" spans="1:13" s="152" customFormat="1" ht="15.75" thickBot="1">
      <c r="A147" s="521"/>
      <c r="B147" s="153"/>
      <c r="C147" s="153"/>
      <c r="D147" s="153"/>
      <c r="E147" s="153"/>
      <c r="F147" s="153"/>
      <c r="G147" s="154"/>
      <c r="H147" s="155"/>
      <c r="I147" s="156"/>
      <c r="J147" s="131" t="s">
        <v>38</v>
      </c>
      <c r="K147" s="132" t="s">
        <v>42</v>
      </c>
      <c r="L147" s="132"/>
      <c r="M147" s="24">
        <v>166.75</v>
      </c>
    </row>
    <row r="148" spans="1:13" s="152" customFormat="1" ht="15.75" thickBot="1">
      <c r="A148" s="521"/>
      <c r="B148" s="153"/>
      <c r="C148" s="153"/>
      <c r="D148" s="153"/>
      <c r="E148" s="153"/>
      <c r="F148" s="153"/>
      <c r="G148" s="154"/>
      <c r="H148" s="155"/>
      <c r="I148" s="156"/>
      <c r="J148" s="131" t="s">
        <v>193</v>
      </c>
      <c r="K148" s="132" t="s">
        <v>28</v>
      </c>
      <c r="L148" s="132"/>
      <c r="M148" s="24">
        <v>517.16</v>
      </c>
    </row>
    <row r="149" spans="1:13" s="152" customFormat="1" ht="15.75" thickBot="1">
      <c r="A149" s="522"/>
      <c r="B149" s="133" t="s">
        <v>341</v>
      </c>
      <c r="C149" s="133" t="s">
        <v>368</v>
      </c>
      <c r="D149" s="144">
        <v>43217</v>
      </c>
      <c r="E149" s="135" t="s">
        <v>36</v>
      </c>
      <c r="F149" s="25" t="s">
        <v>369</v>
      </c>
      <c r="G149" s="539"/>
      <c r="H149" s="540"/>
      <c r="I149" s="541"/>
      <c r="J149" s="131" t="s">
        <v>206</v>
      </c>
      <c r="K149" s="132" t="s">
        <v>28</v>
      </c>
      <c r="L149" s="132"/>
      <c r="M149" s="24">
        <v>81.19</v>
      </c>
    </row>
    <row r="150" spans="1:13" s="152" customFormat="1" ht="24" customHeight="1" thickTop="1" thickBot="1">
      <c r="A150" s="518">
        <f>A144+1</f>
        <v>32</v>
      </c>
      <c r="B150" s="150" t="s">
        <v>19</v>
      </c>
      <c r="C150" s="150" t="s">
        <v>20</v>
      </c>
      <c r="D150" s="150" t="s">
        <v>21</v>
      </c>
      <c r="E150" s="523" t="s">
        <v>22</v>
      </c>
      <c r="F150" s="523"/>
      <c r="G150" s="523" t="s">
        <v>12</v>
      </c>
      <c r="H150" s="528"/>
      <c r="I150" s="164"/>
      <c r="J150" s="126" t="s">
        <v>39</v>
      </c>
      <c r="K150" s="127"/>
      <c r="L150" s="127"/>
      <c r="M150" s="22"/>
    </row>
    <row r="151" spans="1:13" s="152" customFormat="1" ht="23.25" thickBot="1">
      <c r="A151" s="521"/>
      <c r="B151" s="128" t="s">
        <v>370</v>
      </c>
      <c r="C151" s="128" t="s">
        <v>371</v>
      </c>
      <c r="D151" s="129">
        <v>43255</v>
      </c>
      <c r="E151" s="128"/>
      <c r="F151" s="128" t="s">
        <v>372</v>
      </c>
      <c r="G151" s="524" t="s">
        <v>373</v>
      </c>
      <c r="H151" s="525"/>
      <c r="I151" s="526"/>
      <c r="J151" s="130" t="s">
        <v>163</v>
      </c>
      <c r="K151" s="130"/>
      <c r="L151" s="130" t="s">
        <v>28</v>
      </c>
      <c r="M151" s="23">
        <v>1629.76</v>
      </c>
    </row>
    <row r="152" spans="1:13" s="152" customFormat="1" ht="23.25" thickBot="1">
      <c r="A152" s="521"/>
      <c r="B152" s="153" t="s">
        <v>29</v>
      </c>
      <c r="C152" s="153" t="s">
        <v>30</v>
      </c>
      <c r="D152" s="153" t="s">
        <v>31</v>
      </c>
      <c r="E152" s="527" t="s">
        <v>32</v>
      </c>
      <c r="F152" s="527"/>
      <c r="G152" s="529"/>
      <c r="H152" s="530"/>
      <c r="I152" s="531"/>
      <c r="J152" s="131" t="s">
        <v>38</v>
      </c>
      <c r="K152" s="132"/>
      <c r="L152" s="132" t="s">
        <v>28</v>
      </c>
      <c r="M152" s="24">
        <v>300</v>
      </c>
    </row>
    <row r="153" spans="1:13" s="152" customFormat="1" ht="15.75" thickBot="1">
      <c r="A153" s="521"/>
      <c r="B153" s="153"/>
      <c r="C153" s="153"/>
      <c r="D153" s="153"/>
      <c r="E153" s="153"/>
      <c r="F153" s="153"/>
      <c r="G153" s="154"/>
      <c r="H153" s="155"/>
      <c r="I153" s="156"/>
      <c r="J153" s="131" t="s">
        <v>206</v>
      </c>
      <c r="K153" s="132"/>
      <c r="L153" s="132" t="s">
        <v>28</v>
      </c>
      <c r="M153" s="24">
        <v>1000</v>
      </c>
    </row>
    <row r="154" spans="1:13" s="152" customFormat="1" ht="23.25" thickBot="1">
      <c r="A154" s="522"/>
      <c r="B154" s="133" t="s">
        <v>341</v>
      </c>
      <c r="C154" s="133" t="s">
        <v>373</v>
      </c>
      <c r="D154" s="144">
        <v>43312</v>
      </c>
      <c r="E154" s="135" t="s">
        <v>36</v>
      </c>
      <c r="F154" s="25" t="s">
        <v>374</v>
      </c>
      <c r="G154" s="539"/>
      <c r="H154" s="540"/>
      <c r="I154" s="541"/>
      <c r="J154" s="131" t="s">
        <v>27</v>
      </c>
      <c r="K154" s="132"/>
      <c r="L154" s="132" t="s">
        <v>28</v>
      </c>
      <c r="M154" s="24">
        <v>600</v>
      </c>
    </row>
    <row r="155" spans="1:13" s="152" customFormat="1" ht="24" customHeight="1" thickTop="1" thickBot="1">
      <c r="A155" s="518">
        <f>A150+1</f>
        <v>33</v>
      </c>
      <c r="B155" s="150" t="s">
        <v>19</v>
      </c>
      <c r="C155" s="150" t="s">
        <v>20</v>
      </c>
      <c r="D155" s="150" t="s">
        <v>21</v>
      </c>
      <c r="E155" s="523" t="s">
        <v>22</v>
      </c>
      <c r="F155" s="523"/>
      <c r="G155" s="523" t="s">
        <v>12</v>
      </c>
      <c r="H155" s="528"/>
      <c r="I155" s="164"/>
      <c r="J155" s="126" t="s">
        <v>39</v>
      </c>
      <c r="K155" s="127"/>
      <c r="L155" s="127"/>
      <c r="M155" s="22"/>
    </row>
    <row r="156" spans="1:13" s="152" customFormat="1" ht="45.75" thickBot="1">
      <c r="A156" s="521"/>
      <c r="B156" s="128" t="s">
        <v>375</v>
      </c>
      <c r="C156" s="128" t="s">
        <v>376</v>
      </c>
      <c r="D156" s="129">
        <v>43362</v>
      </c>
      <c r="E156" s="128"/>
      <c r="F156" s="128" t="s">
        <v>112</v>
      </c>
      <c r="G156" s="524" t="s">
        <v>377</v>
      </c>
      <c r="H156" s="525"/>
      <c r="I156" s="526"/>
      <c r="J156" s="130" t="s">
        <v>378</v>
      </c>
      <c r="K156" s="130"/>
      <c r="L156" s="130" t="s">
        <v>28</v>
      </c>
      <c r="M156" s="23">
        <v>329.06</v>
      </c>
    </row>
    <row r="157" spans="1:13" s="152" customFormat="1" ht="23.25" thickBot="1">
      <c r="A157" s="521"/>
      <c r="B157" s="153" t="s">
        <v>29</v>
      </c>
      <c r="C157" s="153" t="s">
        <v>30</v>
      </c>
      <c r="D157" s="153" t="s">
        <v>31</v>
      </c>
      <c r="E157" s="527" t="s">
        <v>32</v>
      </c>
      <c r="F157" s="527"/>
      <c r="G157" s="529"/>
      <c r="H157" s="530"/>
      <c r="I157" s="531"/>
      <c r="J157" s="131" t="s">
        <v>27</v>
      </c>
      <c r="K157" s="132"/>
      <c r="L157" s="132" t="s">
        <v>28</v>
      </c>
      <c r="M157" s="24">
        <v>382</v>
      </c>
    </row>
    <row r="158" spans="1:13" s="152" customFormat="1" ht="23.25" thickBot="1">
      <c r="A158" s="522"/>
      <c r="B158" s="133" t="s">
        <v>341</v>
      </c>
      <c r="C158" s="133" t="s">
        <v>342</v>
      </c>
      <c r="D158" s="144">
        <v>43365</v>
      </c>
      <c r="E158" s="135" t="s">
        <v>36</v>
      </c>
      <c r="F158" s="25" t="s">
        <v>379</v>
      </c>
      <c r="G158" s="539"/>
      <c r="H158" s="540"/>
      <c r="I158" s="541"/>
      <c r="J158" s="131" t="s">
        <v>41</v>
      </c>
      <c r="K158" s="132"/>
      <c r="L158" s="132"/>
      <c r="M158" s="24"/>
    </row>
    <row r="159" spans="1:13" s="152" customFormat="1" ht="24" customHeight="1" thickTop="1" thickBot="1">
      <c r="A159" s="518">
        <f>A155+1</f>
        <v>34</v>
      </c>
      <c r="B159" s="150" t="s">
        <v>19</v>
      </c>
      <c r="C159" s="150" t="s">
        <v>20</v>
      </c>
      <c r="D159" s="150" t="s">
        <v>21</v>
      </c>
      <c r="E159" s="523" t="s">
        <v>22</v>
      </c>
      <c r="F159" s="523"/>
      <c r="G159" s="523" t="s">
        <v>12</v>
      </c>
      <c r="H159" s="528"/>
      <c r="I159" s="164"/>
      <c r="J159" s="126" t="s">
        <v>39</v>
      </c>
      <c r="K159" s="127"/>
      <c r="L159" s="127"/>
      <c r="M159" s="22"/>
    </row>
    <row r="160" spans="1:13" s="152" customFormat="1" ht="68.25" thickBot="1">
      <c r="A160" s="521"/>
      <c r="B160" s="128" t="s">
        <v>380</v>
      </c>
      <c r="C160" s="128" t="s">
        <v>381</v>
      </c>
      <c r="D160" s="129">
        <v>43362</v>
      </c>
      <c r="E160" s="128"/>
      <c r="F160" s="128" t="s">
        <v>112</v>
      </c>
      <c r="G160" s="524" t="s">
        <v>382</v>
      </c>
      <c r="H160" s="525"/>
      <c r="I160" s="526"/>
      <c r="J160" s="130" t="s">
        <v>163</v>
      </c>
      <c r="K160" s="130"/>
      <c r="L160" s="130" t="s">
        <v>28</v>
      </c>
      <c r="M160" s="23">
        <v>450.88</v>
      </c>
    </row>
    <row r="161" spans="1:13" s="152" customFormat="1" ht="23.25" thickBot="1">
      <c r="A161" s="521"/>
      <c r="B161" s="153" t="s">
        <v>29</v>
      </c>
      <c r="C161" s="153" t="s">
        <v>30</v>
      </c>
      <c r="D161" s="153" t="s">
        <v>31</v>
      </c>
      <c r="E161" s="527" t="s">
        <v>32</v>
      </c>
      <c r="F161" s="527"/>
      <c r="G161" s="529"/>
      <c r="H161" s="530"/>
      <c r="I161" s="531"/>
      <c r="J161" s="131" t="s">
        <v>27</v>
      </c>
      <c r="K161" s="132"/>
      <c r="L161" s="132" t="s">
        <v>28</v>
      </c>
      <c r="M161" s="24">
        <v>1042</v>
      </c>
    </row>
    <row r="162" spans="1:13" s="152" customFormat="1" ht="34.5" thickBot="1">
      <c r="A162" s="522"/>
      <c r="B162" s="133" t="s">
        <v>341</v>
      </c>
      <c r="C162" s="133" t="s">
        <v>382</v>
      </c>
      <c r="D162" s="144">
        <v>43365</v>
      </c>
      <c r="E162" s="135" t="s">
        <v>36</v>
      </c>
      <c r="F162" s="25" t="s">
        <v>383</v>
      </c>
      <c r="G162" s="539"/>
      <c r="H162" s="540"/>
      <c r="I162" s="541"/>
      <c r="J162" s="131" t="s">
        <v>41</v>
      </c>
      <c r="K162" s="132"/>
      <c r="L162" s="132"/>
      <c r="M162" s="24"/>
    </row>
    <row r="163" spans="1:13" s="152" customFormat="1" ht="24" customHeight="1" thickTop="1" thickBot="1">
      <c r="A163" s="518">
        <f>A159+1</f>
        <v>35</v>
      </c>
      <c r="B163" s="150" t="s">
        <v>19</v>
      </c>
      <c r="C163" s="150" t="s">
        <v>20</v>
      </c>
      <c r="D163" s="150" t="s">
        <v>21</v>
      </c>
      <c r="E163" s="523" t="s">
        <v>22</v>
      </c>
      <c r="F163" s="523"/>
      <c r="G163" s="523" t="s">
        <v>12</v>
      </c>
      <c r="H163" s="528"/>
      <c r="I163" s="164"/>
      <c r="J163" s="126" t="s">
        <v>39</v>
      </c>
      <c r="K163" s="127"/>
      <c r="L163" s="127"/>
      <c r="M163" s="22"/>
    </row>
    <row r="164" spans="1:13" s="152" customFormat="1" ht="34.5" thickBot="1">
      <c r="A164" s="521"/>
      <c r="B164" s="128" t="s">
        <v>384</v>
      </c>
      <c r="C164" s="128" t="s">
        <v>385</v>
      </c>
      <c r="D164" s="129">
        <v>43363</v>
      </c>
      <c r="E164" s="128"/>
      <c r="F164" s="128" t="s">
        <v>386</v>
      </c>
      <c r="G164" s="524" t="s">
        <v>387</v>
      </c>
      <c r="H164" s="525"/>
      <c r="I164" s="526"/>
      <c r="J164" s="130" t="s">
        <v>163</v>
      </c>
      <c r="K164" s="130"/>
      <c r="L164" s="130" t="s">
        <v>28</v>
      </c>
      <c r="M164" s="23">
        <v>359.78</v>
      </c>
    </row>
    <row r="165" spans="1:13" s="152" customFormat="1" ht="23.25" thickBot="1">
      <c r="A165" s="521"/>
      <c r="B165" s="153" t="s">
        <v>29</v>
      </c>
      <c r="C165" s="153" t="s">
        <v>30</v>
      </c>
      <c r="D165" s="153" t="s">
        <v>31</v>
      </c>
      <c r="E165" s="527" t="s">
        <v>32</v>
      </c>
      <c r="F165" s="527"/>
      <c r="G165" s="529"/>
      <c r="H165" s="530"/>
      <c r="I165" s="531"/>
      <c r="J165" s="131" t="s">
        <v>27</v>
      </c>
      <c r="K165" s="132"/>
      <c r="L165" s="132" t="s">
        <v>28</v>
      </c>
      <c r="M165" s="24">
        <v>213.26</v>
      </c>
    </row>
    <row r="166" spans="1:13" s="152" customFormat="1" ht="23.25" thickBot="1">
      <c r="A166" s="522"/>
      <c r="B166" s="133" t="s">
        <v>341</v>
      </c>
      <c r="C166" s="133" t="s">
        <v>387</v>
      </c>
      <c r="D166" s="144">
        <v>43365</v>
      </c>
      <c r="E166" s="135" t="s">
        <v>36</v>
      </c>
      <c r="F166" s="25" t="s">
        <v>388</v>
      </c>
      <c r="G166" s="539"/>
      <c r="H166" s="540"/>
      <c r="I166" s="541"/>
      <c r="J166" s="131" t="s">
        <v>41</v>
      </c>
      <c r="K166" s="132"/>
      <c r="L166" s="132"/>
      <c r="M166" s="24"/>
    </row>
    <row r="167" spans="1:13" s="152" customFormat="1" ht="24" customHeight="1" thickTop="1" thickBot="1">
      <c r="A167" s="518">
        <f>A163+1</f>
        <v>36</v>
      </c>
      <c r="B167" s="150" t="s">
        <v>19</v>
      </c>
      <c r="C167" s="150" t="s">
        <v>20</v>
      </c>
      <c r="D167" s="150" t="s">
        <v>21</v>
      </c>
      <c r="E167" s="523" t="s">
        <v>22</v>
      </c>
      <c r="F167" s="523"/>
      <c r="G167" s="523" t="s">
        <v>12</v>
      </c>
      <c r="H167" s="528"/>
      <c r="I167" s="164"/>
      <c r="J167" s="126" t="s">
        <v>39</v>
      </c>
      <c r="K167" s="127"/>
      <c r="L167" s="127"/>
      <c r="M167" s="22"/>
    </row>
    <row r="168" spans="1:13" s="152" customFormat="1" ht="45.75" thickBot="1">
      <c r="A168" s="521"/>
      <c r="B168" s="128" t="s">
        <v>389</v>
      </c>
      <c r="C168" s="128" t="s">
        <v>339</v>
      </c>
      <c r="D168" s="129">
        <v>43362</v>
      </c>
      <c r="E168" s="128"/>
      <c r="F168" s="128" t="s">
        <v>112</v>
      </c>
      <c r="G168" s="524" t="s">
        <v>390</v>
      </c>
      <c r="H168" s="525"/>
      <c r="I168" s="526"/>
      <c r="J168" s="130" t="s">
        <v>163</v>
      </c>
      <c r="K168" s="130"/>
      <c r="L168" s="130" t="s">
        <v>28</v>
      </c>
      <c r="M168" s="23">
        <v>305.5</v>
      </c>
    </row>
    <row r="169" spans="1:13" s="152" customFormat="1" ht="23.25" thickBot="1">
      <c r="A169" s="521"/>
      <c r="B169" s="153" t="s">
        <v>29</v>
      </c>
      <c r="C169" s="153" t="s">
        <v>30</v>
      </c>
      <c r="D169" s="153" t="s">
        <v>31</v>
      </c>
      <c r="E169" s="527" t="s">
        <v>32</v>
      </c>
      <c r="F169" s="527"/>
      <c r="G169" s="529"/>
      <c r="H169" s="530"/>
      <c r="I169" s="531"/>
      <c r="J169" s="131" t="s">
        <v>27</v>
      </c>
      <c r="K169" s="132"/>
      <c r="L169" s="132" t="s">
        <v>28</v>
      </c>
      <c r="M169" s="24">
        <v>382</v>
      </c>
    </row>
    <row r="170" spans="1:13" s="152" customFormat="1" ht="34.5" thickBot="1">
      <c r="A170" s="522"/>
      <c r="B170" s="133" t="s">
        <v>341</v>
      </c>
      <c r="C170" s="133" t="s">
        <v>390</v>
      </c>
      <c r="D170" s="144">
        <v>43365</v>
      </c>
      <c r="E170" s="135" t="s">
        <v>36</v>
      </c>
      <c r="F170" s="25" t="s">
        <v>343</v>
      </c>
      <c r="G170" s="539"/>
      <c r="H170" s="540"/>
      <c r="I170" s="541"/>
      <c r="J170" s="131" t="s">
        <v>41</v>
      </c>
      <c r="K170" s="132"/>
      <c r="L170" s="132"/>
      <c r="M170" s="24"/>
    </row>
    <row r="171" spans="1:13" s="152" customFormat="1" ht="24" customHeight="1" thickTop="1" thickBot="1">
      <c r="A171" s="518">
        <f>A167+1</f>
        <v>37</v>
      </c>
      <c r="B171" s="150" t="s">
        <v>19</v>
      </c>
      <c r="C171" s="150" t="s">
        <v>20</v>
      </c>
      <c r="D171" s="150" t="s">
        <v>21</v>
      </c>
      <c r="E171" s="523" t="s">
        <v>22</v>
      </c>
      <c r="F171" s="523"/>
      <c r="G171" s="523" t="s">
        <v>12</v>
      </c>
      <c r="H171" s="528"/>
      <c r="I171" s="164"/>
      <c r="J171" s="126" t="s">
        <v>39</v>
      </c>
      <c r="K171" s="127"/>
      <c r="L171" s="127"/>
      <c r="M171" s="22"/>
    </row>
    <row r="172" spans="1:13" s="152" customFormat="1" ht="23.25" thickBot="1">
      <c r="A172" s="521"/>
      <c r="B172" s="128" t="s">
        <v>391</v>
      </c>
      <c r="C172" s="128" t="s">
        <v>392</v>
      </c>
      <c r="D172" s="129">
        <v>43353</v>
      </c>
      <c r="E172" s="128"/>
      <c r="F172" s="128" t="s">
        <v>393</v>
      </c>
      <c r="G172" s="524" t="s">
        <v>394</v>
      </c>
      <c r="H172" s="525"/>
      <c r="I172" s="526"/>
      <c r="J172" s="130" t="s">
        <v>163</v>
      </c>
      <c r="K172" s="130"/>
      <c r="L172" s="130" t="s">
        <v>28</v>
      </c>
      <c r="M172" s="23">
        <v>348.94</v>
      </c>
    </row>
    <row r="173" spans="1:13" s="152" customFormat="1" ht="23.25" thickBot="1">
      <c r="A173" s="521"/>
      <c r="B173" s="153" t="s">
        <v>29</v>
      </c>
      <c r="C173" s="153" t="s">
        <v>30</v>
      </c>
      <c r="D173" s="153" t="s">
        <v>31</v>
      </c>
      <c r="E173" s="527" t="s">
        <v>32</v>
      </c>
      <c r="F173" s="527"/>
      <c r="G173" s="529"/>
      <c r="H173" s="530"/>
      <c r="I173" s="531"/>
      <c r="J173" s="131" t="s">
        <v>27</v>
      </c>
      <c r="K173" s="132"/>
      <c r="L173" s="132" t="s">
        <v>28</v>
      </c>
      <c r="M173" s="24">
        <v>288.45999999999998</v>
      </c>
    </row>
    <row r="174" spans="1:13" s="152" customFormat="1" ht="23.25" thickBot="1">
      <c r="A174" s="522"/>
      <c r="B174" s="133" t="s">
        <v>395</v>
      </c>
      <c r="C174" s="133" t="s">
        <v>394</v>
      </c>
      <c r="D174" s="144">
        <v>43357</v>
      </c>
      <c r="E174" s="135" t="s">
        <v>36</v>
      </c>
      <c r="F174" s="25" t="s">
        <v>396</v>
      </c>
      <c r="G174" s="539"/>
      <c r="H174" s="540"/>
      <c r="I174" s="541"/>
      <c r="J174" s="131" t="s">
        <v>162</v>
      </c>
      <c r="K174" s="132"/>
      <c r="L174" s="132" t="s">
        <v>28</v>
      </c>
      <c r="M174" s="24">
        <v>211.12</v>
      </c>
    </row>
    <row r="175" spans="1:13" s="152" customFormat="1" ht="24" customHeight="1" thickTop="1" thickBot="1">
      <c r="A175" s="518">
        <f>A171+1</f>
        <v>38</v>
      </c>
      <c r="B175" s="150" t="s">
        <v>19</v>
      </c>
      <c r="C175" s="150" t="s">
        <v>20</v>
      </c>
      <c r="D175" s="150" t="s">
        <v>21</v>
      </c>
      <c r="E175" s="523" t="s">
        <v>22</v>
      </c>
      <c r="F175" s="523"/>
      <c r="G175" s="523" t="s">
        <v>12</v>
      </c>
      <c r="H175" s="528"/>
      <c r="I175" s="164"/>
      <c r="J175" s="126" t="s">
        <v>39</v>
      </c>
      <c r="K175" s="127"/>
      <c r="L175" s="127"/>
      <c r="M175" s="22"/>
    </row>
    <row r="176" spans="1:13" s="152" customFormat="1" ht="34.5" thickBot="1">
      <c r="A176" s="521"/>
      <c r="B176" s="128" t="s">
        <v>397</v>
      </c>
      <c r="C176" s="128" t="s">
        <v>398</v>
      </c>
      <c r="D176" s="129">
        <v>43233</v>
      </c>
      <c r="E176" s="128"/>
      <c r="F176" s="128" t="s">
        <v>170</v>
      </c>
      <c r="G176" s="524" t="s">
        <v>399</v>
      </c>
      <c r="H176" s="525"/>
      <c r="I176" s="526"/>
      <c r="J176" s="130" t="s">
        <v>163</v>
      </c>
      <c r="K176" s="130"/>
      <c r="L176" s="130" t="s">
        <v>28</v>
      </c>
      <c r="M176" s="23">
        <v>280.60000000000002</v>
      </c>
    </row>
    <row r="177" spans="1:13" s="152" customFormat="1" ht="23.25" thickBot="1">
      <c r="A177" s="521"/>
      <c r="B177" s="153" t="s">
        <v>29</v>
      </c>
      <c r="C177" s="153" t="s">
        <v>30</v>
      </c>
      <c r="D177" s="153" t="s">
        <v>31</v>
      </c>
      <c r="E177" s="527" t="s">
        <v>32</v>
      </c>
      <c r="F177" s="527"/>
      <c r="G177" s="529"/>
      <c r="H177" s="530"/>
      <c r="I177" s="531"/>
      <c r="J177" s="131" t="s">
        <v>27</v>
      </c>
      <c r="K177" s="132"/>
      <c r="L177" s="132" t="s">
        <v>28</v>
      </c>
      <c r="M177" s="24">
        <v>120.62</v>
      </c>
    </row>
    <row r="178" spans="1:13" s="152" customFormat="1" ht="23.25" thickBot="1">
      <c r="A178" s="522"/>
      <c r="B178" s="134" t="s">
        <v>341</v>
      </c>
      <c r="C178" s="134" t="s">
        <v>400</v>
      </c>
      <c r="D178" s="144">
        <v>43237</v>
      </c>
      <c r="E178" s="135" t="s">
        <v>36</v>
      </c>
      <c r="F178" s="140" t="s">
        <v>401</v>
      </c>
      <c r="G178" s="539"/>
      <c r="H178" s="540"/>
      <c r="I178" s="541"/>
      <c r="J178" s="141" t="s">
        <v>190</v>
      </c>
      <c r="K178" s="142"/>
      <c r="L178" s="142" t="s">
        <v>28</v>
      </c>
      <c r="M178" s="36">
        <v>205</v>
      </c>
    </row>
    <row r="179" spans="1:13" s="152" customFormat="1" ht="24" customHeight="1" thickTop="1" thickBot="1">
      <c r="A179" s="518">
        <f>A175+1</f>
        <v>39</v>
      </c>
      <c r="B179" s="150" t="s">
        <v>19</v>
      </c>
      <c r="C179" s="150" t="s">
        <v>20</v>
      </c>
      <c r="D179" s="150" t="s">
        <v>21</v>
      </c>
      <c r="E179" s="523" t="s">
        <v>22</v>
      </c>
      <c r="F179" s="523"/>
      <c r="G179" s="523" t="s">
        <v>12</v>
      </c>
      <c r="H179" s="528"/>
      <c r="I179" s="164"/>
      <c r="J179" s="126" t="s">
        <v>39</v>
      </c>
      <c r="K179" s="127"/>
      <c r="L179" s="127"/>
      <c r="M179" s="22"/>
    </row>
    <row r="180" spans="1:13" s="152" customFormat="1" ht="34.5" thickBot="1">
      <c r="A180" s="521"/>
      <c r="B180" s="128" t="s">
        <v>402</v>
      </c>
      <c r="C180" s="128" t="s">
        <v>403</v>
      </c>
      <c r="D180" s="129">
        <v>43337</v>
      </c>
      <c r="E180" s="128"/>
      <c r="F180" s="128" t="s">
        <v>404</v>
      </c>
      <c r="G180" s="524" t="s">
        <v>405</v>
      </c>
      <c r="H180" s="525"/>
      <c r="I180" s="526"/>
      <c r="J180" s="130" t="s">
        <v>163</v>
      </c>
      <c r="K180" s="130"/>
      <c r="L180" s="130" t="s">
        <v>28</v>
      </c>
      <c r="M180" s="23">
        <v>340.3</v>
      </c>
    </row>
    <row r="181" spans="1:13" s="152" customFormat="1" ht="23.25" thickBot="1">
      <c r="A181" s="521"/>
      <c r="B181" s="153" t="s">
        <v>29</v>
      </c>
      <c r="C181" s="153" t="s">
        <v>30</v>
      </c>
      <c r="D181" s="153" t="s">
        <v>31</v>
      </c>
      <c r="E181" s="527" t="s">
        <v>32</v>
      </c>
      <c r="F181" s="527"/>
      <c r="G181" s="529"/>
      <c r="H181" s="530"/>
      <c r="I181" s="531"/>
      <c r="J181" s="131" t="s">
        <v>27</v>
      </c>
      <c r="K181" s="132" t="s">
        <v>28</v>
      </c>
      <c r="L181" s="132"/>
      <c r="M181" s="24">
        <v>204.1</v>
      </c>
    </row>
    <row r="182" spans="1:13" s="152" customFormat="1" ht="45.75" thickBot="1">
      <c r="A182" s="522"/>
      <c r="B182" s="134" t="s">
        <v>341</v>
      </c>
      <c r="C182" s="134" t="s">
        <v>406</v>
      </c>
      <c r="D182" s="144">
        <v>43338</v>
      </c>
      <c r="E182" s="135" t="s">
        <v>36</v>
      </c>
      <c r="F182" s="140" t="s">
        <v>407</v>
      </c>
      <c r="G182" s="539"/>
      <c r="H182" s="540"/>
      <c r="I182" s="541"/>
      <c r="J182" s="141" t="s">
        <v>38</v>
      </c>
      <c r="K182" s="142" t="s">
        <v>28</v>
      </c>
      <c r="L182" s="142"/>
      <c r="M182" s="36">
        <v>112</v>
      </c>
    </row>
    <row r="183" spans="1:13" s="152" customFormat="1" ht="24" customHeight="1" thickTop="1" thickBot="1">
      <c r="A183" s="518">
        <f>A179+1</f>
        <v>40</v>
      </c>
      <c r="B183" s="150" t="s">
        <v>19</v>
      </c>
      <c r="C183" s="150" t="s">
        <v>20</v>
      </c>
      <c r="D183" s="150" t="s">
        <v>21</v>
      </c>
      <c r="E183" s="523" t="s">
        <v>22</v>
      </c>
      <c r="F183" s="523"/>
      <c r="G183" s="523" t="s">
        <v>12</v>
      </c>
      <c r="H183" s="528"/>
      <c r="I183" s="164"/>
      <c r="J183" s="126" t="s">
        <v>39</v>
      </c>
      <c r="K183" s="127"/>
      <c r="L183" s="127"/>
      <c r="M183" s="22"/>
    </row>
    <row r="184" spans="1:13" s="152" customFormat="1" ht="57" thickBot="1">
      <c r="A184" s="521"/>
      <c r="B184" s="128" t="s">
        <v>408</v>
      </c>
      <c r="C184" s="128" t="s">
        <v>409</v>
      </c>
      <c r="D184" s="129">
        <v>43324</v>
      </c>
      <c r="E184" s="128"/>
      <c r="F184" s="128" t="s">
        <v>410</v>
      </c>
      <c r="G184" s="524" t="s">
        <v>411</v>
      </c>
      <c r="H184" s="525"/>
      <c r="I184" s="526"/>
      <c r="J184" s="130" t="s">
        <v>163</v>
      </c>
      <c r="K184" s="130"/>
      <c r="L184" s="130" t="s">
        <v>28</v>
      </c>
      <c r="M184" s="23">
        <v>454.64</v>
      </c>
    </row>
    <row r="185" spans="1:13" s="152" customFormat="1" ht="23.25" thickBot="1">
      <c r="A185" s="521"/>
      <c r="B185" s="153" t="s">
        <v>29</v>
      </c>
      <c r="C185" s="153" t="s">
        <v>30</v>
      </c>
      <c r="D185" s="153" t="s">
        <v>31</v>
      </c>
      <c r="E185" s="527" t="s">
        <v>32</v>
      </c>
      <c r="F185" s="527"/>
      <c r="G185" s="529"/>
      <c r="H185" s="530"/>
      <c r="I185" s="531"/>
      <c r="J185" s="131" t="s">
        <v>27</v>
      </c>
      <c r="K185" s="132"/>
      <c r="L185" s="132" t="s">
        <v>28</v>
      </c>
      <c r="M185" s="24">
        <v>477.39</v>
      </c>
    </row>
    <row r="186" spans="1:13" s="152" customFormat="1" ht="15.75" thickBot="1">
      <c r="A186" s="521"/>
      <c r="B186" s="153"/>
      <c r="C186" s="153"/>
      <c r="D186" s="153"/>
      <c r="E186" s="153"/>
      <c r="F186" s="153"/>
      <c r="G186" s="154"/>
      <c r="H186" s="155"/>
      <c r="I186" s="156"/>
      <c r="J186" s="131" t="s">
        <v>38</v>
      </c>
      <c r="K186" s="132" t="s">
        <v>28</v>
      </c>
      <c r="L186" s="132"/>
      <c r="M186" s="24">
        <v>288</v>
      </c>
    </row>
    <row r="187" spans="1:13" s="152" customFormat="1" ht="15.75" thickBot="1">
      <c r="A187" s="522"/>
      <c r="B187" s="134" t="s">
        <v>341</v>
      </c>
      <c r="C187" s="134" t="s">
        <v>411</v>
      </c>
      <c r="D187" s="144">
        <v>43328</v>
      </c>
      <c r="E187" s="135" t="s">
        <v>36</v>
      </c>
      <c r="F187" s="140" t="s">
        <v>412</v>
      </c>
      <c r="G187" s="539"/>
      <c r="H187" s="540"/>
      <c r="I187" s="541"/>
      <c r="J187" s="141" t="s">
        <v>198</v>
      </c>
      <c r="K187" s="142" t="s">
        <v>28</v>
      </c>
      <c r="L187" s="142"/>
      <c r="M187" s="36">
        <v>315.83999999999997</v>
      </c>
    </row>
    <row r="188" spans="1:13" s="152" customFormat="1" ht="24" customHeight="1" thickTop="1" thickBot="1">
      <c r="A188" s="518">
        <f>A183+1</f>
        <v>41</v>
      </c>
      <c r="B188" s="150" t="s">
        <v>19</v>
      </c>
      <c r="C188" s="150" t="s">
        <v>20</v>
      </c>
      <c r="D188" s="150" t="s">
        <v>21</v>
      </c>
      <c r="E188" s="523" t="s">
        <v>22</v>
      </c>
      <c r="F188" s="523"/>
      <c r="G188" s="523" t="s">
        <v>12</v>
      </c>
      <c r="H188" s="528"/>
      <c r="I188" s="164"/>
      <c r="J188" s="126" t="s">
        <v>39</v>
      </c>
      <c r="K188" s="127"/>
      <c r="L188" s="127"/>
      <c r="M188" s="22"/>
    </row>
    <row r="189" spans="1:13" s="152" customFormat="1" ht="45.75" thickBot="1">
      <c r="A189" s="521"/>
      <c r="B189" s="128" t="s">
        <v>413</v>
      </c>
      <c r="C189" s="128" t="s">
        <v>414</v>
      </c>
      <c r="D189" s="129">
        <v>43330</v>
      </c>
      <c r="E189" s="128"/>
      <c r="F189" s="128" t="s">
        <v>119</v>
      </c>
      <c r="G189" s="524" t="s">
        <v>415</v>
      </c>
      <c r="H189" s="525"/>
      <c r="I189" s="526"/>
      <c r="J189" s="130" t="s">
        <v>163</v>
      </c>
      <c r="K189" s="130"/>
      <c r="L189" s="130" t="s">
        <v>28</v>
      </c>
      <c r="M189" s="23">
        <v>558.6</v>
      </c>
    </row>
    <row r="190" spans="1:13" s="152" customFormat="1" ht="23.25" thickBot="1">
      <c r="A190" s="521"/>
      <c r="B190" s="153" t="s">
        <v>29</v>
      </c>
      <c r="C190" s="153" t="s">
        <v>30</v>
      </c>
      <c r="D190" s="153" t="s">
        <v>31</v>
      </c>
      <c r="E190" s="527" t="s">
        <v>32</v>
      </c>
      <c r="F190" s="527"/>
      <c r="G190" s="529"/>
      <c r="H190" s="530"/>
      <c r="I190" s="531"/>
      <c r="J190" s="131" t="s">
        <v>27</v>
      </c>
      <c r="K190" s="132"/>
      <c r="L190" s="132" t="s">
        <v>28</v>
      </c>
      <c r="M190" s="24">
        <v>600.97</v>
      </c>
    </row>
    <row r="191" spans="1:13" s="152" customFormat="1" ht="15.75" thickBot="1">
      <c r="A191" s="521"/>
      <c r="B191" s="153"/>
      <c r="C191" s="153"/>
      <c r="D191" s="153"/>
      <c r="E191" s="153"/>
      <c r="F191" s="153"/>
      <c r="G191" s="154"/>
      <c r="H191" s="155"/>
      <c r="I191" s="156"/>
      <c r="J191" s="131" t="s">
        <v>190</v>
      </c>
      <c r="K191" s="132"/>
      <c r="L191" s="132" t="s">
        <v>28</v>
      </c>
      <c r="M191" s="24">
        <v>380</v>
      </c>
    </row>
    <row r="192" spans="1:13" s="152" customFormat="1" ht="15.75" thickBot="1">
      <c r="A192" s="521"/>
      <c r="B192" s="153"/>
      <c r="C192" s="153"/>
      <c r="D192" s="153"/>
      <c r="E192" s="153"/>
      <c r="F192" s="153"/>
      <c r="G192" s="154"/>
      <c r="H192" s="155"/>
      <c r="I192" s="156"/>
      <c r="J192" s="131" t="s">
        <v>38</v>
      </c>
      <c r="K192" s="132"/>
      <c r="L192" s="132" t="s">
        <v>28</v>
      </c>
      <c r="M192" s="24">
        <v>149.96</v>
      </c>
    </row>
    <row r="193" spans="1:13" s="152" customFormat="1" ht="23.25" thickBot="1">
      <c r="A193" s="522"/>
      <c r="B193" s="134" t="s">
        <v>341</v>
      </c>
      <c r="C193" s="134" t="s">
        <v>415</v>
      </c>
      <c r="D193" s="144">
        <v>43333</v>
      </c>
      <c r="E193" s="135" t="s">
        <v>36</v>
      </c>
      <c r="F193" s="140" t="s">
        <v>416</v>
      </c>
      <c r="G193" s="539"/>
      <c r="H193" s="540"/>
      <c r="I193" s="541"/>
      <c r="J193" s="141" t="s">
        <v>193</v>
      </c>
      <c r="K193" s="142"/>
      <c r="L193" s="142" t="s">
        <v>28</v>
      </c>
      <c r="M193" s="36">
        <v>29.6</v>
      </c>
    </row>
    <row r="194" spans="1:13" s="152" customFormat="1" ht="24" customHeight="1" thickTop="1" thickBot="1">
      <c r="A194" s="518">
        <f>A188+1</f>
        <v>42</v>
      </c>
      <c r="B194" s="150" t="s">
        <v>19</v>
      </c>
      <c r="C194" s="150" t="s">
        <v>20</v>
      </c>
      <c r="D194" s="150" t="s">
        <v>21</v>
      </c>
      <c r="E194" s="523" t="s">
        <v>22</v>
      </c>
      <c r="F194" s="523"/>
      <c r="G194" s="523" t="s">
        <v>12</v>
      </c>
      <c r="H194" s="528"/>
      <c r="I194" s="164"/>
      <c r="J194" s="126" t="s">
        <v>39</v>
      </c>
      <c r="K194" s="127"/>
      <c r="L194" s="127"/>
      <c r="M194" s="22"/>
    </row>
    <row r="195" spans="1:13" s="152" customFormat="1" ht="34.5" thickBot="1">
      <c r="A195" s="521"/>
      <c r="B195" s="128" t="s">
        <v>417</v>
      </c>
      <c r="C195" s="128" t="s">
        <v>418</v>
      </c>
      <c r="D195" s="129">
        <v>43205</v>
      </c>
      <c r="E195" s="128"/>
      <c r="F195" s="128" t="s">
        <v>165</v>
      </c>
      <c r="G195" s="524" t="s">
        <v>415</v>
      </c>
      <c r="H195" s="525"/>
      <c r="I195" s="526"/>
      <c r="J195" s="130" t="s">
        <v>163</v>
      </c>
      <c r="K195" s="130"/>
      <c r="L195" s="130" t="s">
        <v>28</v>
      </c>
      <c r="M195" s="23">
        <v>270.95999999999998</v>
      </c>
    </row>
    <row r="196" spans="1:13" s="152" customFormat="1" ht="23.25" thickBot="1">
      <c r="A196" s="521"/>
      <c r="B196" s="153" t="s">
        <v>29</v>
      </c>
      <c r="C196" s="153" t="s">
        <v>30</v>
      </c>
      <c r="D196" s="153" t="s">
        <v>31</v>
      </c>
      <c r="E196" s="527" t="s">
        <v>32</v>
      </c>
      <c r="F196" s="527"/>
      <c r="G196" s="529"/>
      <c r="H196" s="530"/>
      <c r="I196" s="531"/>
      <c r="J196" s="131" t="s">
        <v>27</v>
      </c>
      <c r="K196" s="132"/>
      <c r="L196" s="132" t="s">
        <v>28</v>
      </c>
      <c r="M196" s="24">
        <v>397.44</v>
      </c>
    </row>
    <row r="197" spans="1:13" s="152" customFormat="1" ht="15.75" thickBot="1">
      <c r="A197" s="521"/>
      <c r="B197" s="153"/>
      <c r="C197" s="153"/>
      <c r="D197" s="153"/>
      <c r="E197" s="153"/>
      <c r="F197" s="153"/>
      <c r="G197" s="154"/>
      <c r="H197" s="155"/>
      <c r="I197" s="156"/>
      <c r="J197" s="131" t="s">
        <v>193</v>
      </c>
      <c r="K197" s="132"/>
      <c r="L197" s="132" t="s">
        <v>28</v>
      </c>
      <c r="M197" s="24">
        <v>155.5</v>
      </c>
    </row>
    <row r="198" spans="1:13" s="152" customFormat="1" ht="23.25" thickBot="1">
      <c r="A198" s="522"/>
      <c r="B198" s="134" t="s">
        <v>341</v>
      </c>
      <c r="C198" s="134" t="s">
        <v>415</v>
      </c>
      <c r="D198" s="144">
        <v>43209</v>
      </c>
      <c r="E198" s="135" t="s">
        <v>36</v>
      </c>
      <c r="F198" s="140" t="s">
        <v>419</v>
      </c>
      <c r="G198" s="539"/>
      <c r="H198" s="540"/>
      <c r="I198" s="541"/>
      <c r="J198" s="141" t="s">
        <v>38</v>
      </c>
      <c r="K198" s="142"/>
      <c r="L198" s="142" t="s">
        <v>28</v>
      </c>
      <c r="M198" s="36">
        <v>115.62</v>
      </c>
    </row>
    <row r="199" spans="1:13" s="152" customFormat="1" ht="24" customHeight="1" thickTop="1" thickBot="1">
      <c r="A199" s="518">
        <f>A194+1</f>
        <v>43</v>
      </c>
      <c r="B199" s="150" t="s">
        <v>19</v>
      </c>
      <c r="C199" s="150" t="s">
        <v>20</v>
      </c>
      <c r="D199" s="150" t="s">
        <v>21</v>
      </c>
      <c r="E199" s="523" t="s">
        <v>22</v>
      </c>
      <c r="F199" s="523"/>
      <c r="G199" s="523" t="s">
        <v>12</v>
      </c>
      <c r="H199" s="528"/>
      <c r="I199" s="164"/>
      <c r="J199" s="126" t="s">
        <v>39</v>
      </c>
      <c r="K199" s="127"/>
      <c r="L199" s="127"/>
      <c r="M199" s="22"/>
    </row>
    <row r="200" spans="1:13" s="152" customFormat="1" ht="23.25" thickBot="1">
      <c r="A200" s="521"/>
      <c r="B200" s="128" t="s">
        <v>420</v>
      </c>
      <c r="C200" s="128" t="s">
        <v>421</v>
      </c>
      <c r="D200" s="129">
        <v>43335</v>
      </c>
      <c r="E200" s="128"/>
      <c r="F200" s="128" t="s">
        <v>422</v>
      </c>
      <c r="G200" s="524" t="s">
        <v>423</v>
      </c>
      <c r="H200" s="525"/>
      <c r="I200" s="526"/>
      <c r="J200" s="130" t="s">
        <v>163</v>
      </c>
      <c r="K200" s="130"/>
      <c r="L200" s="130" t="s">
        <v>28</v>
      </c>
      <c r="M200" s="23">
        <v>1600</v>
      </c>
    </row>
    <row r="201" spans="1:13" s="152" customFormat="1" ht="23.25" thickBot="1">
      <c r="A201" s="521"/>
      <c r="B201" s="153" t="s">
        <v>29</v>
      </c>
      <c r="C201" s="153" t="s">
        <v>30</v>
      </c>
      <c r="D201" s="153" t="s">
        <v>31</v>
      </c>
      <c r="E201" s="527" t="s">
        <v>32</v>
      </c>
      <c r="F201" s="527"/>
      <c r="G201" s="529"/>
      <c r="H201" s="530"/>
      <c r="I201" s="531"/>
      <c r="J201" s="131" t="s">
        <v>27</v>
      </c>
      <c r="K201" s="132"/>
      <c r="L201" s="132" t="s">
        <v>28</v>
      </c>
      <c r="M201" s="24">
        <v>800</v>
      </c>
    </row>
    <row r="202" spans="1:13" s="152" customFormat="1" ht="15.75" thickBot="1">
      <c r="A202" s="521"/>
      <c r="B202" s="153"/>
      <c r="C202" s="153"/>
      <c r="D202" s="153"/>
      <c r="E202" s="153"/>
      <c r="F202" s="153"/>
      <c r="G202" s="154"/>
      <c r="H202" s="155"/>
      <c r="I202" s="156"/>
      <c r="J202" s="131" t="s">
        <v>193</v>
      </c>
      <c r="K202" s="132"/>
      <c r="L202" s="132" t="s">
        <v>28</v>
      </c>
      <c r="M202" s="24">
        <v>80</v>
      </c>
    </row>
    <row r="203" spans="1:13" s="152" customFormat="1" ht="15.75" thickBot="1">
      <c r="A203" s="522"/>
      <c r="B203" s="134" t="s">
        <v>341</v>
      </c>
      <c r="C203" s="134" t="s">
        <v>423</v>
      </c>
      <c r="D203" s="144">
        <v>43344</v>
      </c>
      <c r="E203" s="135" t="s">
        <v>36</v>
      </c>
      <c r="F203" s="140" t="s">
        <v>424</v>
      </c>
      <c r="G203" s="539"/>
      <c r="H203" s="540"/>
      <c r="I203" s="541"/>
      <c r="J203" s="141" t="s">
        <v>38</v>
      </c>
      <c r="K203" s="142"/>
      <c r="L203" s="142" t="s">
        <v>28</v>
      </c>
      <c r="M203" s="36">
        <v>400</v>
      </c>
    </row>
    <row r="204" spans="1:13" s="152" customFormat="1" ht="24" customHeight="1" thickTop="1" thickBot="1">
      <c r="A204" s="518">
        <f>A199+1</f>
        <v>44</v>
      </c>
      <c r="B204" s="150" t="s">
        <v>19</v>
      </c>
      <c r="C204" s="150" t="s">
        <v>20</v>
      </c>
      <c r="D204" s="150" t="s">
        <v>21</v>
      </c>
      <c r="E204" s="523" t="s">
        <v>22</v>
      </c>
      <c r="F204" s="523"/>
      <c r="G204" s="523" t="s">
        <v>12</v>
      </c>
      <c r="H204" s="528"/>
      <c r="I204" s="164"/>
      <c r="J204" s="126" t="s">
        <v>39</v>
      </c>
      <c r="K204" s="127"/>
      <c r="L204" s="127"/>
      <c r="M204" s="22"/>
    </row>
    <row r="205" spans="1:13" s="152" customFormat="1" ht="23.25" thickBot="1">
      <c r="A205" s="521"/>
      <c r="B205" s="128" t="s">
        <v>425</v>
      </c>
      <c r="C205" s="128" t="s">
        <v>426</v>
      </c>
      <c r="D205" s="129">
        <v>43256</v>
      </c>
      <c r="E205" s="128"/>
      <c r="F205" s="128" t="s">
        <v>427</v>
      </c>
      <c r="G205" s="524" t="s">
        <v>428</v>
      </c>
      <c r="H205" s="525"/>
      <c r="I205" s="526"/>
      <c r="J205" s="130" t="s">
        <v>429</v>
      </c>
      <c r="K205" s="130" t="s">
        <v>28</v>
      </c>
      <c r="L205" s="130"/>
      <c r="M205" s="23">
        <v>373.87</v>
      </c>
    </row>
    <row r="206" spans="1:13" s="152" customFormat="1" ht="23.25" thickBot="1">
      <c r="A206" s="521"/>
      <c r="B206" s="153" t="s">
        <v>29</v>
      </c>
      <c r="C206" s="153" t="s">
        <v>30</v>
      </c>
      <c r="D206" s="153" t="s">
        <v>31</v>
      </c>
      <c r="E206" s="527" t="s">
        <v>32</v>
      </c>
      <c r="F206" s="527"/>
      <c r="G206" s="529"/>
      <c r="H206" s="530"/>
      <c r="I206" s="531"/>
      <c r="J206" s="131" t="s">
        <v>40</v>
      </c>
      <c r="K206" s="132"/>
      <c r="L206" s="132"/>
      <c r="M206" s="24"/>
    </row>
    <row r="207" spans="1:13" s="152" customFormat="1" ht="15.75" thickBot="1">
      <c r="A207" s="522"/>
      <c r="B207" s="134" t="s">
        <v>341</v>
      </c>
      <c r="C207" s="134" t="s">
        <v>428</v>
      </c>
      <c r="D207" s="144">
        <v>43273</v>
      </c>
      <c r="E207" s="135" t="s">
        <v>36</v>
      </c>
      <c r="F207" s="140" t="s">
        <v>430</v>
      </c>
      <c r="G207" s="539"/>
      <c r="H207" s="540"/>
      <c r="I207" s="541"/>
      <c r="J207" s="141" t="s">
        <v>41</v>
      </c>
      <c r="K207" s="142"/>
      <c r="L207" s="142"/>
      <c r="M207" s="36"/>
    </row>
    <row r="208" spans="1:13" s="152" customFormat="1" ht="24" customHeight="1" thickTop="1" thickBot="1">
      <c r="A208" s="518">
        <f>A204+1</f>
        <v>45</v>
      </c>
      <c r="B208" s="150" t="s">
        <v>19</v>
      </c>
      <c r="C208" s="150" t="s">
        <v>20</v>
      </c>
      <c r="D208" s="150" t="s">
        <v>21</v>
      </c>
      <c r="E208" s="523" t="s">
        <v>22</v>
      </c>
      <c r="F208" s="523"/>
      <c r="G208" s="523" t="s">
        <v>12</v>
      </c>
      <c r="H208" s="528"/>
      <c r="I208" s="164"/>
      <c r="J208" s="126" t="s">
        <v>39</v>
      </c>
      <c r="K208" s="127"/>
      <c r="L208" s="127"/>
      <c r="M208" s="22"/>
    </row>
    <row r="209" spans="1:13" s="152" customFormat="1" ht="34.5" thickBot="1">
      <c r="A209" s="521"/>
      <c r="B209" s="128" t="s">
        <v>431</v>
      </c>
      <c r="C209" s="128" t="s">
        <v>432</v>
      </c>
      <c r="D209" s="129">
        <v>43316</v>
      </c>
      <c r="E209" s="128"/>
      <c r="F209" s="128" t="s">
        <v>144</v>
      </c>
      <c r="G209" s="524" t="s">
        <v>433</v>
      </c>
      <c r="H209" s="525"/>
      <c r="I209" s="526"/>
      <c r="J209" s="130" t="s">
        <v>163</v>
      </c>
      <c r="K209" s="130"/>
      <c r="L209" s="130" t="s">
        <v>28</v>
      </c>
      <c r="M209" s="23">
        <v>300</v>
      </c>
    </row>
    <row r="210" spans="1:13" s="152" customFormat="1" ht="23.25" thickBot="1">
      <c r="A210" s="521"/>
      <c r="B210" s="153" t="s">
        <v>29</v>
      </c>
      <c r="C210" s="153" t="s">
        <v>30</v>
      </c>
      <c r="D210" s="153" t="s">
        <v>31</v>
      </c>
      <c r="E210" s="527" t="s">
        <v>32</v>
      </c>
      <c r="F210" s="527"/>
      <c r="G210" s="529"/>
      <c r="H210" s="530"/>
      <c r="I210" s="531"/>
      <c r="J210" s="131" t="s">
        <v>27</v>
      </c>
      <c r="K210" s="132"/>
      <c r="L210" s="132" t="s">
        <v>28</v>
      </c>
      <c r="M210" s="24">
        <v>700</v>
      </c>
    </row>
    <row r="211" spans="1:13" s="152" customFormat="1" ht="15.75" thickBot="1">
      <c r="A211" s="521"/>
      <c r="B211" s="153"/>
      <c r="C211" s="153"/>
      <c r="D211" s="153"/>
      <c r="E211" s="153"/>
      <c r="F211" s="153"/>
      <c r="G211" s="154"/>
      <c r="H211" s="155"/>
      <c r="I211" s="156"/>
      <c r="J211" s="131" t="s">
        <v>38</v>
      </c>
      <c r="K211" s="132"/>
      <c r="L211" s="132" t="s">
        <v>28</v>
      </c>
      <c r="M211" s="24">
        <v>185</v>
      </c>
    </row>
    <row r="212" spans="1:13" s="152" customFormat="1" ht="23.25" thickBot="1">
      <c r="A212" s="522"/>
      <c r="B212" s="134" t="s">
        <v>341</v>
      </c>
      <c r="C212" s="134" t="s">
        <v>433</v>
      </c>
      <c r="D212" s="144">
        <v>43319</v>
      </c>
      <c r="E212" s="135" t="s">
        <v>36</v>
      </c>
      <c r="F212" s="140" t="s">
        <v>434</v>
      </c>
      <c r="G212" s="539"/>
      <c r="H212" s="540"/>
      <c r="I212" s="541"/>
      <c r="J212" s="141" t="s">
        <v>435</v>
      </c>
      <c r="K212" s="142"/>
      <c r="L212" s="142" t="s">
        <v>28</v>
      </c>
      <c r="M212" s="36">
        <v>2390</v>
      </c>
    </row>
    <row r="213" spans="1:13" s="152" customFormat="1" ht="24" customHeight="1" thickTop="1" thickBot="1">
      <c r="A213" s="518">
        <f>A208+1</f>
        <v>46</v>
      </c>
      <c r="B213" s="150" t="s">
        <v>19</v>
      </c>
      <c r="C213" s="150" t="s">
        <v>20</v>
      </c>
      <c r="D213" s="150" t="s">
        <v>21</v>
      </c>
      <c r="E213" s="523" t="s">
        <v>22</v>
      </c>
      <c r="F213" s="523"/>
      <c r="G213" s="523" t="s">
        <v>12</v>
      </c>
      <c r="H213" s="528"/>
      <c r="I213" s="164"/>
      <c r="J213" s="126" t="s">
        <v>39</v>
      </c>
      <c r="K213" s="127"/>
      <c r="L213" s="127"/>
      <c r="M213" s="22"/>
    </row>
    <row r="214" spans="1:13" s="152" customFormat="1" ht="23.25" thickBot="1">
      <c r="A214" s="521"/>
      <c r="B214" s="128" t="s">
        <v>436</v>
      </c>
      <c r="C214" s="128" t="s">
        <v>437</v>
      </c>
      <c r="D214" s="129">
        <v>43316</v>
      </c>
      <c r="E214" s="128"/>
      <c r="F214" s="128" t="s">
        <v>438</v>
      </c>
      <c r="G214" s="524" t="s">
        <v>228</v>
      </c>
      <c r="H214" s="525"/>
      <c r="I214" s="526"/>
      <c r="J214" s="130" t="s">
        <v>27</v>
      </c>
      <c r="K214" s="130"/>
      <c r="L214" s="130" t="s">
        <v>28</v>
      </c>
      <c r="M214" s="23">
        <v>272</v>
      </c>
    </row>
    <row r="215" spans="1:13" s="152" customFormat="1" ht="23.25" thickBot="1">
      <c r="A215" s="521"/>
      <c r="B215" s="153" t="s">
        <v>29</v>
      </c>
      <c r="C215" s="153" t="s">
        <v>30</v>
      </c>
      <c r="D215" s="153" t="s">
        <v>31</v>
      </c>
      <c r="E215" s="527" t="s">
        <v>32</v>
      </c>
      <c r="F215" s="527"/>
      <c r="G215" s="529"/>
      <c r="H215" s="530"/>
      <c r="I215" s="531"/>
      <c r="J215" s="131" t="s">
        <v>38</v>
      </c>
      <c r="K215" s="132"/>
      <c r="L215" s="132" t="s">
        <v>28</v>
      </c>
      <c r="M215" s="24">
        <v>98</v>
      </c>
    </row>
    <row r="216" spans="1:13" s="152" customFormat="1" ht="23.25" thickBot="1">
      <c r="A216" s="522"/>
      <c r="B216" s="134" t="s">
        <v>341</v>
      </c>
      <c r="C216" s="134" t="s">
        <v>228</v>
      </c>
      <c r="D216" s="144">
        <v>43322</v>
      </c>
      <c r="E216" s="135" t="s">
        <v>36</v>
      </c>
      <c r="F216" s="140" t="s">
        <v>439</v>
      </c>
      <c r="G216" s="539"/>
      <c r="H216" s="540"/>
      <c r="I216" s="541"/>
      <c r="J216" s="141" t="s">
        <v>41</v>
      </c>
      <c r="K216" s="142"/>
      <c r="L216" s="142"/>
      <c r="M216" s="36"/>
    </row>
    <row r="217" spans="1:13" s="152" customFormat="1" ht="24" customHeight="1" thickTop="1" thickBot="1">
      <c r="A217" s="518">
        <f>A213+1</f>
        <v>47</v>
      </c>
      <c r="B217" s="150" t="s">
        <v>19</v>
      </c>
      <c r="C217" s="150" t="s">
        <v>20</v>
      </c>
      <c r="D217" s="150" t="s">
        <v>21</v>
      </c>
      <c r="E217" s="523" t="s">
        <v>22</v>
      </c>
      <c r="F217" s="523"/>
      <c r="G217" s="523" t="s">
        <v>12</v>
      </c>
      <c r="H217" s="528"/>
      <c r="I217" s="164"/>
      <c r="J217" s="126" t="s">
        <v>39</v>
      </c>
      <c r="K217" s="127"/>
      <c r="L217" s="127"/>
      <c r="M217" s="22"/>
    </row>
    <row r="218" spans="1:13" s="152" customFormat="1" ht="34.5" thickBot="1">
      <c r="A218" s="521"/>
      <c r="B218" s="128" t="s">
        <v>188</v>
      </c>
      <c r="C218" s="128" t="s">
        <v>440</v>
      </c>
      <c r="D218" s="129">
        <v>43330</v>
      </c>
      <c r="E218" s="128"/>
      <c r="F218" s="128" t="s">
        <v>119</v>
      </c>
      <c r="G218" s="524" t="s">
        <v>189</v>
      </c>
      <c r="H218" s="525"/>
      <c r="I218" s="526"/>
      <c r="J218" s="130" t="s">
        <v>163</v>
      </c>
      <c r="K218" s="130"/>
      <c r="L218" s="130" t="s">
        <v>28</v>
      </c>
      <c r="M218" s="23">
        <v>584.6</v>
      </c>
    </row>
    <row r="219" spans="1:13" s="152" customFormat="1" ht="23.25" thickBot="1">
      <c r="A219" s="521"/>
      <c r="B219" s="153" t="s">
        <v>29</v>
      </c>
      <c r="C219" s="153" t="s">
        <v>30</v>
      </c>
      <c r="D219" s="153" t="s">
        <v>31</v>
      </c>
      <c r="E219" s="527" t="s">
        <v>32</v>
      </c>
      <c r="F219" s="527"/>
      <c r="G219" s="529"/>
      <c r="H219" s="530"/>
      <c r="I219" s="531"/>
      <c r="J219" s="131" t="s">
        <v>27</v>
      </c>
      <c r="K219" s="132"/>
      <c r="L219" s="132" t="s">
        <v>28</v>
      </c>
      <c r="M219" s="24">
        <v>594</v>
      </c>
    </row>
    <row r="220" spans="1:13" s="152" customFormat="1" ht="15.75" thickBot="1">
      <c r="A220" s="521"/>
      <c r="B220" s="153"/>
      <c r="C220" s="153"/>
      <c r="D220" s="153"/>
      <c r="E220" s="153"/>
      <c r="F220" s="153"/>
      <c r="G220" s="154"/>
      <c r="H220" s="155"/>
      <c r="I220" s="156"/>
      <c r="J220" s="131" t="s">
        <v>38</v>
      </c>
      <c r="K220" s="132"/>
      <c r="L220" s="132" t="s">
        <v>28</v>
      </c>
      <c r="M220" s="24">
        <v>215.19</v>
      </c>
    </row>
    <row r="221" spans="1:13" s="152" customFormat="1" ht="15.75" thickBot="1">
      <c r="A221" s="521"/>
      <c r="B221" s="153"/>
      <c r="C221" s="153"/>
      <c r="D221" s="153"/>
      <c r="E221" s="153"/>
      <c r="F221" s="153"/>
      <c r="G221" s="154"/>
      <c r="H221" s="155"/>
      <c r="I221" s="156"/>
      <c r="J221" s="131" t="s">
        <v>193</v>
      </c>
      <c r="K221" s="132"/>
      <c r="L221" s="132" t="s">
        <v>28</v>
      </c>
      <c r="M221" s="24">
        <v>457.61</v>
      </c>
    </row>
    <row r="222" spans="1:13" s="152" customFormat="1" ht="34.5" thickBot="1">
      <c r="A222" s="522"/>
      <c r="B222" s="134" t="s">
        <v>341</v>
      </c>
      <c r="C222" s="134" t="s">
        <v>189</v>
      </c>
      <c r="D222" s="144">
        <v>43336</v>
      </c>
      <c r="E222" s="135" t="s">
        <v>36</v>
      </c>
      <c r="F222" s="140" t="s">
        <v>441</v>
      </c>
      <c r="G222" s="539"/>
      <c r="H222" s="540"/>
      <c r="I222" s="541"/>
      <c r="J222" s="141" t="s">
        <v>190</v>
      </c>
      <c r="K222" s="142"/>
      <c r="L222" s="142" t="s">
        <v>28</v>
      </c>
      <c r="M222" s="36">
        <v>380</v>
      </c>
    </row>
    <row r="223" spans="1:13" s="152" customFormat="1" ht="24" customHeight="1" thickTop="1" thickBot="1">
      <c r="A223" s="518">
        <f>A217+1</f>
        <v>48</v>
      </c>
      <c r="B223" s="150" t="s">
        <v>19</v>
      </c>
      <c r="C223" s="150" t="s">
        <v>20</v>
      </c>
      <c r="D223" s="150" t="s">
        <v>21</v>
      </c>
      <c r="E223" s="523" t="s">
        <v>22</v>
      </c>
      <c r="F223" s="523"/>
      <c r="G223" s="523" t="s">
        <v>12</v>
      </c>
      <c r="H223" s="528"/>
      <c r="I223" s="164"/>
      <c r="J223" s="126" t="s">
        <v>39</v>
      </c>
      <c r="K223" s="127"/>
      <c r="L223" s="127"/>
      <c r="M223" s="22"/>
    </row>
    <row r="224" spans="1:13" s="152" customFormat="1" ht="45.75" thickBot="1">
      <c r="A224" s="521"/>
      <c r="B224" s="128" t="s">
        <v>196</v>
      </c>
      <c r="C224" s="128" t="s">
        <v>199</v>
      </c>
      <c r="D224" s="129">
        <v>43304</v>
      </c>
      <c r="E224" s="128"/>
      <c r="F224" s="128" t="s">
        <v>442</v>
      </c>
      <c r="G224" s="524" t="s">
        <v>200</v>
      </c>
      <c r="H224" s="525"/>
      <c r="I224" s="526"/>
      <c r="J224" s="130" t="s">
        <v>163</v>
      </c>
      <c r="K224" s="130" t="s">
        <v>28</v>
      </c>
      <c r="L224" s="130"/>
      <c r="M224" s="23">
        <v>348.6</v>
      </c>
    </row>
    <row r="225" spans="1:13" s="152" customFormat="1" ht="23.25" thickBot="1">
      <c r="A225" s="521"/>
      <c r="B225" s="153" t="s">
        <v>29</v>
      </c>
      <c r="C225" s="153" t="s">
        <v>30</v>
      </c>
      <c r="D225" s="153" t="s">
        <v>31</v>
      </c>
      <c r="E225" s="527" t="s">
        <v>32</v>
      </c>
      <c r="F225" s="527"/>
      <c r="G225" s="529"/>
      <c r="H225" s="530"/>
      <c r="I225" s="531"/>
      <c r="J225" s="131" t="s">
        <v>27</v>
      </c>
      <c r="K225" s="132"/>
      <c r="L225" s="132" t="s">
        <v>28</v>
      </c>
      <c r="M225" s="24">
        <v>120</v>
      </c>
    </row>
    <row r="226" spans="1:13" s="152" customFormat="1" ht="15.75" thickBot="1">
      <c r="A226" s="522"/>
      <c r="B226" s="134" t="s">
        <v>341</v>
      </c>
      <c r="C226" s="134" t="s">
        <v>443</v>
      </c>
      <c r="D226" s="144">
        <v>43306</v>
      </c>
      <c r="E226" s="135" t="s">
        <v>36</v>
      </c>
      <c r="F226" s="140" t="s">
        <v>444</v>
      </c>
      <c r="G226" s="539"/>
      <c r="H226" s="540"/>
      <c r="I226" s="541"/>
      <c r="J226" s="141" t="s">
        <v>38</v>
      </c>
      <c r="K226" s="142"/>
      <c r="L226" s="142" t="s">
        <v>28</v>
      </c>
      <c r="M226" s="36">
        <v>70</v>
      </c>
    </row>
    <row r="227" spans="1:13" s="152" customFormat="1" ht="24" customHeight="1" thickTop="1" thickBot="1">
      <c r="A227" s="518">
        <f>A223+1</f>
        <v>49</v>
      </c>
      <c r="B227" s="150" t="s">
        <v>19</v>
      </c>
      <c r="C227" s="150" t="s">
        <v>20</v>
      </c>
      <c r="D227" s="150" t="s">
        <v>21</v>
      </c>
      <c r="E227" s="523" t="s">
        <v>22</v>
      </c>
      <c r="F227" s="523"/>
      <c r="G227" s="523" t="s">
        <v>12</v>
      </c>
      <c r="H227" s="528"/>
      <c r="I227" s="164"/>
      <c r="J227" s="126" t="s">
        <v>39</v>
      </c>
      <c r="K227" s="127"/>
      <c r="L227" s="127"/>
      <c r="M227" s="22"/>
    </row>
    <row r="228" spans="1:13" s="152" customFormat="1" ht="45.75" thickBot="1">
      <c r="A228" s="521"/>
      <c r="B228" s="128" t="s">
        <v>445</v>
      </c>
      <c r="C228" s="128" t="s">
        <v>446</v>
      </c>
      <c r="D228" s="129">
        <v>43289</v>
      </c>
      <c r="E228" s="128"/>
      <c r="F228" s="128" t="s">
        <v>447</v>
      </c>
      <c r="G228" s="524" t="s">
        <v>448</v>
      </c>
      <c r="H228" s="525"/>
      <c r="I228" s="526"/>
      <c r="J228" s="130" t="s">
        <v>163</v>
      </c>
      <c r="K228" s="130"/>
      <c r="L228" s="130" t="s">
        <v>28</v>
      </c>
      <c r="M228" s="23">
        <v>505</v>
      </c>
    </row>
    <row r="229" spans="1:13" s="152" customFormat="1" ht="23.25" thickBot="1">
      <c r="A229" s="521"/>
      <c r="B229" s="153" t="s">
        <v>29</v>
      </c>
      <c r="C229" s="153" t="s">
        <v>30</v>
      </c>
      <c r="D229" s="153" t="s">
        <v>31</v>
      </c>
      <c r="E229" s="527" t="s">
        <v>32</v>
      </c>
      <c r="F229" s="527"/>
      <c r="G229" s="529"/>
      <c r="H229" s="530"/>
      <c r="I229" s="531"/>
      <c r="J229" s="131" t="s">
        <v>27</v>
      </c>
      <c r="K229" s="132"/>
      <c r="L229" s="132" t="s">
        <v>28</v>
      </c>
      <c r="M229" s="24">
        <v>798</v>
      </c>
    </row>
    <row r="230" spans="1:13" s="152" customFormat="1" ht="15.75" thickBot="1">
      <c r="A230" s="521"/>
      <c r="B230" s="153"/>
      <c r="C230" s="153"/>
      <c r="D230" s="153"/>
      <c r="E230" s="153"/>
      <c r="F230" s="153"/>
      <c r="G230" s="154"/>
      <c r="H230" s="155"/>
      <c r="I230" s="156"/>
      <c r="J230" s="131" t="s">
        <v>38</v>
      </c>
      <c r="K230" s="132"/>
      <c r="L230" s="132" t="s">
        <v>28</v>
      </c>
      <c r="M230" s="24">
        <v>404</v>
      </c>
    </row>
    <row r="231" spans="1:13" s="152" customFormat="1" ht="45.75" thickBot="1">
      <c r="A231" s="522"/>
      <c r="B231" s="134" t="s">
        <v>341</v>
      </c>
      <c r="C231" s="134" t="s">
        <v>448</v>
      </c>
      <c r="D231" s="144">
        <v>43303</v>
      </c>
      <c r="E231" s="135" t="s">
        <v>36</v>
      </c>
      <c r="F231" s="140" t="s">
        <v>449</v>
      </c>
      <c r="G231" s="539"/>
      <c r="H231" s="540"/>
      <c r="I231" s="541"/>
      <c r="J231" s="141" t="s">
        <v>193</v>
      </c>
      <c r="K231" s="142" t="s">
        <v>28</v>
      </c>
      <c r="L231" s="142"/>
      <c r="M231" s="36">
        <v>290</v>
      </c>
    </row>
    <row r="232" spans="1:13" s="152" customFormat="1" ht="24" customHeight="1" thickTop="1" thickBot="1">
      <c r="A232" s="518">
        <f>A227+1</f>
        <v>50</v>
      </c>
      <c r="B232" s="150" t="s">
        <v>19</v>
      </c>
      <c r="C232" s="150" t="s">
        <v>20</v>
      </c>
      <c r="D232" s="150" t="s">
        <v>21</v>
      </c>
      <c r="E232" s="523" t="s">
        <v>22</v>
      </c>
      <c r="F232" s="523"/>
      <c r="G232" s="523" t="s">
        <v>12</v>
      </c>
      <c r="H232" s="528"/>
      <c r="I232" s="164"/>
      <c r="J232" s="126" t="s">
        <v>39</v>
      </c>
      <c r="K232" s="127"/>
      <c r="L232" s="127"/>
      <c r="M232" s="22"/>
    </row>
    <row r="233" spans="1:13" s="152" customFormat="1" ht="34.5" thickBot="1">
      <c r="A233" s="521"/>
      <c r="B233" s="128" t="s">
        <v>450</v>
      </c>
      <c r="C233" s="128" t="s">
        <v>451</v>
      </c>
      <c r="D233" s="129">
        <v>43302</v>
      </c>
      <c r="E233" s="128"/>
      <c r="F233" s="128" t="s">
        <v>452</v>
      </c>
      <c r="G233" s="524" t="s">
        <v>453</v>
      </c>
      <c r="H233" s="525"/>
      <c r="I233" s="526"/>
      <c r="J233" s="130" t="s">
        <v>98</v>
      </c>
      <c r="K233" s="130"/>
      <c r="L233" s="130" t="s">
        <v>28</v>
      </c>
      <c r="M233" s="23">
        <v>408.66</v>
      </c>
    </row>
    <row r="234" spans="1:13" s="152" customFormat="1" ht="23.25" thickBot="1">
      <c r="A234" s="521"/>
      <c r="B234" s="153" t="s">
        <v>29</v>
      </c>
      <c r="C234" s="153" t="s">
        <v>30</v>
      </c>
      <c r="D234" s="153" t="s">
        <v>31</v>
      </c>
      <c r="E234" s="527" t="s">
        <v>32</v>
      </c>
      <c r="F234" s="527"/>
      <c r="G234" s="529"/>
      <c r="H234" s="530"/>
      <c r="I234" s="531"/>
      <c r="J234" s="131" t="s">
        <v>27</v>
      </c>
      <c r="K234" s="132"/>
      <c r="L234" s="132" t="s">
        <v>28</v>
      </c>
      <c r="M234" s="24">
        <v>2209.87</v>
      </c>
    </row>
    <row r="235" spans="1:13" s="152" customFormat="1" ht="23.25" thickBot="1">
      <c r="A235" s="522"/>
      <c r="B235" s="134" t="s">
        <v>341</v>
      </c>
      <c r="C235" s="134" t="s">
        <v>454</v>
      </c>
      <c r="D235" s="144">
        <v>43317</v>
      </c>
      <c r="E235" s="135" t="s">
        <v>36</v>
      </c>
      <c r="F235" s="140" t="s">
        <v>455</v>
      </c>
      <c r="G235" s="539"/>
      <c r="H235" s="540"/>
      <c r="I235" s="541"/>
      <c r="J235" s="141" t="s">
        <v>38</v>
      </c>
      <c r="K235" s="142"/>
      <c r="L235" s="142" t="s">
        <v>28</v>
      </c>
      <c r="M235" s="36">
        <v>516.5</v>
      </c>
    </row>
    <row r="236" spans="1:13" s="152" customFormat="1" ht="24" customHeight="1" thickTop="1" thickBot="1">
      <c r="A236" s="518">
        <f>A232+1</f>
        <v>51</v>
      </c>
      <c r="B236" s="150" t="s">
        <v>19</v>
      </c>
      <c r="C236" s="150" t="s">
        <v>20</v>
      </c>
      <c r="D236" s="150" t="s">
        <v>21</v>
      </c>
      <c r="E236" s="523" t="s">
        <v>22</v>
      </c>
      <c r="F236" s="523"/>
      <c r="G236" s="523" t="s">
        <v>12</v>
      </c>
      <c r="H236" s="528"/>
      <c r="I236" s="164"/>
      <c r="J236" s="126" t="s">
        <v>39</v>
      </c>
      <c r="K236" s="127"/>
      <c r="L236" s="127"/>
      <c r="M236" s="22"/>
    </row>
    <row r="237" spans="1:13" s="152" customFormat="1" ht="34.5" thickBot="1">
      <c r="A237" s="521"/>
      <c r="B237" s="128" t="s">
        <v>456</v>
      </c>
      <c r="C237" s="128" t="s">
        <v>457</v>
      </c>
      <c r="D237" s="129">
        <v>43268</v>
      </c>
      <c r="E237" s="128"/>
      <c r="F237" s="128" t="s">
        <v>458</v>
      </c>
      <c r="G237" s="524" t="s">
        <v>459</v>
      </c>
      <c r="H237" s="525"/>
      <c r="I237" s="526"/>
      <c r="J237" s="130" t="s">
        <v>27</v>
      </c>
      <c r="K237" s="130"/>
      <c r="L237" s="130" t="s">
        <v>28</v>
      </c>
      <c r="M237" s="23">
        <v>635</v>
      </c>
    </row>
    <row r="238" spans="1:13" s="152" customFormat="1" ht="23.25" thickBot="1">
      <c r="A238" s="521"/>
      <c r="B238" s="153" t="s">
        <v>29</v>
      </c>
      <c r="C238" s="153" t="s">
        <v>30</v>
      </c>
      <c r="D238" s="153" t="s">
        <v>31</v>
      </c>
      <c r="E238" s="527" t="s">
        <v>32</v>
      </c>
      <c r="F238" s="527"/>
      <c r="G238" s="529"/>
      <c r="H238" s="530"/>
      <c r="I238" s="531"/>
      <c r="J238" s="131" t="s">
        <v>38</v>
      </c>
      <c r="K238" s="132"/>
      <c r="L238" s="132" t="s">
        <v>28</v>
      </c>
      <c r="M238" s="24">
        <v>500</v>
      </c>
    </row>
    <row r="239" spans="1:13" s="152" customFormat="1" ht="23.25" thickBot="1">
      <c r="A239" s="522"/>
      <c r="B239" s="134" t="s">
        <v>460</v>
      </c>
      <c r="C239" s="134" t="s">
        <v>459</v>
      </c>
      <c r="D239" s="144">
        <v>43280</v>
      </c>
      <c r="E239" s="135" t="s">
        <v>36</v>
      </c>
      <c r="F239" s="140" t="s">
        <v>461</v>
      </c>
      <c r="G239" s="539"/>
      <c r="H239" s="540"/>
      <c r="I239" s="541"/>
      <c r="J239" s="141" t="s">
        <v>206</v>
      </c>
      <c r="K239" s="142"/>
      <c r="L239" s="142" t="s">
        <v>28</v>
      </c>
      <c r="M239" s="36">
        <v>1215</v>
      </c>
    </row>
    <row r="240" spans="1:13" s="152" customFormat="1" ht="24" customHeight="1" thickTop="1" thickBot="1">
      <c r="A240" s="518">
        <f>A236+1</f>
        <v>52</v>
      </c>
      <c r="B240" s="150" t="s">
        <v>19</v>
      </c>
      <c r="C240" s="150" t="s">
        <v>20</v>
      </c>
      <c r="D240" s="150" t="s">
        <v>21</v>
      </c>
      <c r="E240" s="523" t="s">
        <v>22</v>
      </c>
      <c r="F240" s="523"/>
      <c r="G240" s="523" t="s">
        <v>12</v>
      </c>
      <c r="H240" s="528"/>
      <c r="I240" s="164"/>
      <c r="J240" s="126" t="s">
        <v>39</v>
      </c>
      <c r="K240" s="127"/>
      <c r="L240" s="127"/>
      <c r="M240" s="22"/>
    </row>
    <row r="241" spans="1:13" s="152" customFormat="1" ht="57" thickBot="1">
      <c r="A241" s="521"/>
      <c r="B241" s="128" t="s">
        <v>462</v>
      </c>
      <c r="C241" s="128" t="s">
        <v>463</v>
      </c>
      <c r="D241" s="129">
        <v>43275</v>
      </c>
      <c r="E241" s="128"/>
      <c r="F241" s="128" t="s">
        <v>464</v>
      </c>
      <c r="G241" s="524" t="s">
        <v>465</v>
      </c>
      <c r="H241" s="525"/>
      <c r="I241" s="526"/>
      <c r="J241" s="130" t="s">
        <v>163</v>
      </c>
      <c r="K241" s="130"/>
      <c r="L241" s="130" t="s">
        <v>28</v>
      </c>
      <c r="M241" s="23">
        <v>493</v>
      </c>
    </row>
    <row r="242" spans="1:13" s="152" customFormat="1" ht="23.25" thickBot="1">
      <c r="A242" s="521"/>
      <c r="B242" s="153" t="s">
        <v>29</v>
      </c>
      <c r="C242" s="153" t="s">
        <v>30</v>
      </c>
      <c r="D242" s="153" t="s">
        <v>31</v>
      </c>
      <c r="E242" s="527" t="s">
        <v>32</v>
      </c>
      <c r="F242" s="527"/>
      <c r="G242" s="529"/>
      <c r="H242" s="530"/>
      <c r="I242" s="531"/>
      <c r="J242" s="131" t="s">
        <v>27</v>
      </c>
      <c r="K242" s="132"/>
      <c r="L242" s="132" t="s">
        <v>28</v>
      </c>
      <c r="M242" s="24">
        <v>346</v>
      </c>
    </row>
    <row r="243" spans="1:13" s="152" customFormat="1" ht="23.25" thickBot="1">
      <c r="A243" s="522"/>
      <c r="B243" s="134" t="s">
        <v>341</v>
      </c>
      <c r="C243" s="134" t="s">
        <v>466</v>
      </c>
      <c r="D243" s="144">
        <v>43280</v>
      </c>
      <c r="E243" s="135" t="s">
        <v>36</v>
      </c>
      <c r="F243" s="140" t="s">
        <v>467</v>
      </c>
      <c r="G243" s="539"/>
      <c r="H243" s="540"/>
      <c r="I243" s="541"/>
      <c r="J243" s="141" t="s">
        <v>190</v>
      </c>
      <c r="K243" s="142"/>
      <c r="L243" s="142" t="s">
        <v>28</v>
      </c>
      <c r="M243" s="36">
        <v>195</v>
      </c>
    </row>
    <row r="244" spans="1:13" s="152" customFormat="1" ht="24" customHeight="1" thickTop="1" thickBot="1">
      <c r="A244" s="518">
        <f>A240+1</f>
        <v>53</v>
      </c>
      <c r="B244" s="150" t="s">
        <v>19</v>
      </c>
      <c r="C244" s="150" t="s">
        <v>20</v>
      </c>
      <c r="D244" s="150" t="s">
        <v>21</v>
      </c>
      <c r="E244" s="523" t="s">
        <v>22</v>
      </c>
      <c r="F244" s="523"/>
      <c r="G244" s="523" t="s">
        <v>12</v>
      </c>
      <c r="H244" s="528"/>
      <c r="I244" s="164"/>
      <c r="J244" s="126" t="s">
        <v>39</v>
      </c>
      <c r="K244" s="127"/>
      <c r="L244" s="127"/>
      <c r="M244" s="22"/>
    </row>
    <row r="245" spans="1:13" s="152" customFormat="1" ht="34.5" thickBot="1">
      <c r="A245" s="521"/>
      <c r="B245" s="128" t="s">
        <v>468</v>
      </c>
      <c r="C245" s="128" t="s">
        <v>469</v>
      </c>
      <c r="D245" s="129">
        <v>43254</v>
      </c>
      <c r="E245" s="128"/>
      <c r="F245" s="128" t="s">
        <v>470</v>
      </c>
      <c r="G245" s="524" t="s">
        <v>471</v>
      </c>
      <c r="H245" s="525"/>
      <c r="I245" s="526"/>
      <c r="J245" s="130" t="s">
        <v>163</v>
      </c>
      <c r="K245" s="130" t="s">
        <v>28</v>
      </c>
      <c r="L245" s="130"/>
      <c r="M245" s="23">
        <v>378.3</v>
      </c>
    </row>
    <row r="246" spans="1:13" s="152" customFormat="1" ht="23.25" thickBot="1">
      <c r="A246" s="521"/>
      <c r="B246" s="153" t="s">
        <v>29</v>
      </c>
      <c r="C246" s="153" t="s">
        <v>30</v>
      </c>
      <c r="D246" s="153" t="s">
        <v>31</v>
      </c>
      <c r="E246" s="527" t="s">
        <v>32</v>
      </c>
      <c r="F246" s="527"/>
      <c r="G246" s="529"/>
      <c r="H246" s="530"/>
      <c r="I246" s="531"/>
      <c r="J246" s="131" t="s">
        <v>27</v>
      </c>
      <c r="K246" s="132" t="s">
        <v>28</v>
      </c>
      <c r="L246" s="132"/>
      <c r="M246" s="24">
        <v>708</v>
      </c>
    </row>
    <row r="247" spans="1:13" s="152" customFormat="1" ht="15.75" thickBot="1">
      <c r="A247" s="521"/>
      <c r="B247" s="153"/>
      <c r="C247" s="153"/>
      <c r="D247" s="153"/>
      <c r="E247" s="153"/>
      <c r="F247" s="153"/>
      <c r="G247" s="154"/>
      <c r="H247" s="155"/>
      <c r="I247" s="156"/>
      <c r="J247" s="131" t="s">
        <v>38</v>
      </c>
      <c r="K247" s="132" t="s">
        <v>28</v>
      </c>
      <c r="L247" s="132"/>
      <c r="M247" s="24">
        <v>241.5</v>
      </c>
    </row>
    <row r="248" spans="1:13" s="152" customFormat="1" ht="34.5" thickBot="1">
      <c r="A248" s="522"/>
      <c r="B248" s="134" t="s">
        <v>341</v>
      </c>
      <c r="C248" s="134" t="s">
        <v>471</v>
      </c>
      <c r="D248" s="144">
        <v>43260</v>
      </c>
      <c r="E248" s="135" t="s">
        <v>36</v>
      </c>
      <c r="F248" s="140" t="s">
        <v>472</v>
      </c>
      <c r="G248" s="539"/>
      <c r="H248" s="540"/>
      <c r="I248" s="541"/>
      <c r="J248" s="141" t="s">
        <v>190</v>
      </c>
      <c r="K248" s="142" t="s">
        <v>28</v>
      </c>
      <c r="L248" s="142"/>
      <c r="M248" s="36">
        <v>277.51</v>
      </c>
    </row>
    <row r="249" spans="1:13" s="152" customFormat="1" ht="24" customHeight="1" thickTop="1" thickBot="1">
      <c r="A249" s="518">
        <f>A244+1</f>
        <v>54</v>
      </c>
      <c r="B249" s="150" t="s">
        <v>19</v>
      </c>
      <c r="C249" s="150" t="s">
        <v>20</v>
      </c>
      <c r="D249" s="150" t="s">
        <v>21</v>
      </c>
      <c r="E249" s="523" t="s">
        <v>22</v>
      </c>
      <c r="F249" s="523"/>
      <c r="G249" s="523" t="s">
        <v>12</v>
      </c>
      <c r="H249" s="528"/>
      <c r="I249" s="164"/>
      <c r="J249" s="126" t="s">
        <v>39</v>
      </c>
      <c r="K249" s="127"/>
      <c r="L249" s="127"/>
      <c r="M249" s="22"/>
    </row>
    <row r="250" spans="1:13" s="152" customFormat="1" ht="45.75" thickBot="1">
      <c r="A250" s="521"/>
      <c r="B250" s="128" t="s">
        <v>186</v>
      </c>
      <c r="C250" s="128" t="s">
        <v>473</v>
      </c>
      <c r="D250" s="129">
        <v>43227</v>
      </c>
      <c r="E250" s="128"/>
      <c r="F250" s="128" t="s">
        <v>474</v>
      </c>
      <c r="G250" s="524" t="s">
        <v>475</v>
      </c>
      <c r="H250" s="525"/>
      <c r="I250" s="526"/>
      <c r="J250" s="130" t="s">
        <v>163</v>
      </c>
      <c r="K250" s="130"/>
      <c r="L250" s="130" t="s">
        <v>28</v>
      </c>
      <c r="M250" s="23">
        <v>209.96</v>
      </c>
    </row>
    <row r="251" spans="1:13" s="152" customFormat="1" ht="23.25" thickBot="1">
      <c r="A251" s="521"/>
      <c r="B251" s="153" t="s">
        <v>29</v>
      </c>
      <c r="C251" s="153" t="s">
        <v>30</v>
      </c>
      <c r="D251" s="153" t="s">
        <v>31</v>
      </c>
      <c r="E251" s="527" t="s">
        <v>32</v>
      </c>
      <c r="F251" s="527"/>
      <c r="G251" s="529"/>
      <c r="H251" s="530"/>
      <c r="I251" s="531"/>
      <c r="J251" s="131" t="s">
        <v>27</v>
      </c>
      <c r="K251" s="132"/>
      <c r="L251" s="132" t="s">
        <v>28</v>
      </c>
      <c r="M251" s="24">
        <v>614</v>
      </c>
    </row>
    <row r="252" spans="1:13" s="152" customFormat="1" ht="15.75" thickBot="1">
      <c r="A252" s="521"/>
      <c r="B252" s="153"/>
      <c r="C252" s="153"/>
      <c r="D252" s="153"/>
      <c r="E252" s="153"/>
      <c r="F252" s="153"/>
      <c r="G252" s="154"/>
      <c r="H252" s="155"/>
      <c r="I252" s="156"/>
      <c r="J252" s="131" t="s">
        <v>38</v>
      </c>
      <c r="K252" s="132" t="s">
        <v>28</v>
      </c>
      <c r="L252" s="132"/>
      <c r="M252" s="24">
        <v>288</v>
      </c>
    </row>
    <row r="253" spans="1:13" s="152" customFormat="1" ht="23.25" thickBot="1">
      <c r="A253" s="522"/>
      <c r="B253" s="134" t="s">
        <v>460</v>
      </c>
      <c r="C253" s="134" t="s">
        <v>475</v>
      </c>
      <c r="D253" s="144">
        <v>43231</v>
      </c>
      <c r="E253" s="135" t="s">
        <v>36</v>
      </c>
      <c r="F253" s="140" t="s">
        <v>476</v>
      </c>
      <c r="G253" s="539"/>
      <c r="H253" s="540"/>
      <c r="I253" s="541"/>
      <c r="J253" s="141" t="s">
        <v>190</v>
      </c>
      <c r="K253" s="142"/>
      <c r="L253" s="142" t="s">
        <v>28</v>
      </c>
      <c r="M253" s="36">
        <v>50</v>
      </c>
    </row>
    <row r="254" spans="1:13" s="152" customFormat="1" ht="24" customHeight="1" thickTop="1" thickBot="1">
      <c r="A254" s="518">
        <f>A249+1</f>
        <v>55</v>
      </c>
      <c r="B254" s="150" t="s">
        <v>19</v>
      </c>
      <c r="C254" s="150" t="s">
        <v>20</v>
      </c>
      <c r="D254" s="150" t="s">
        <v>21</v>
      </c>
      <c r="E254" s="523" t="s">
        <v>22</v>
      </c>
      <c r="F254" s="523"/>
      <c r="G254" s="523" t="s">
        <v>12</v>
      </c>
      <c r="H254" s="528"/>
      <c r="I254" s="164"/>
      <c r="J254" s="126" t="s">
        <v>39</v>
      </c>
      <c r="K254" s="127"/>
      <c r="L254" s="127"/>
      <c r="M254" s="22"/>
    </row>
    <row r="255" spans="1:13" s="152" customFormat="1" ht="23.25" thickBot="1">
      <c r="A255" s="521"/>
      <c r="B255" s="128" t="s">
        <v>186</v>
      </c>
      <c r="C255" s="128" t="s">
        <v>477</v>
      </c>
      <c r="D255" s="129">
        <v>43240</v>
      </c>
      <c r="E255" s="128"/>
      <c r="F255" s="128" t="s">
        <v>478</v>
      </c>
      <c r="G255" s="524" t="s">
        <v>479</v>
      </c>
      <c r="H255" s="525"/>
      <c r="I255" s="526"/>
      <c r="J255" s="130" t="s">
        <v>163</v>
      </c>
      <c r="K255" s="130"/>
      <c r="L255" s="130" t="s">
        <v>28</v>
      </c>
      <c r="M255" s="23">
        <v>254.96</v>
      </c>
    </row>
    <row r="256" spans="1:13" s="152" customFormat="1" ht="23.25" thickBot="1">
      <c r="A256" s="521"/>
      <c r="B256" s="153" t="s">
        <v>29</v>
      </c>
      <c r="C256" s="153" t="s">
        <v>30</v>
      </c>
      <c r="D256" s="153" t="s">
        <v>31</v>
      </c>
      <c r="E256" s="527" t="s">
        <v>32</v>
      </c>
      <c r="F256" s="527"/>
      <c r="G256" s="529"/>
      <c r="H256" s="530"/>
      <c r="I256" s="531"/>
      <c r="J256" s="131" t="s">
        <v>27</v>
      </c>
      <c r="K256" s="132"/>
      <c r="L256" s="132" t="s">
        <v>28</v>
      </c>
      <c r="M256" s="24">
        <v>101</v>
      </c>
    </row>
    <row r="257" spans="1:13" s="152" customFormat="1" ht="23.25" thickBot="1">
      <c r="A257" s="522"/>
      <c r="B257" s="134" t="s">
        <v>480</v>
      </c>
      <c r="C257" s="134" t="s">
        <v>479</v>
      </c>
      <c r="D257" s="144">
        <v>43245</v>
      </c>
      <c r="E257" s="135" t="s">
        <v>36</v>
      </c>
      <c r="F257" s="140" t="s">
        <v>481</v>
      </c>
      <c r="G257" s="539"/>
      <c r="H257" s="540"/>
      <c r="I257" s="541"/>
      <c r="J257" s="141" t="s">
        <v>150</v>
      </c>
      <c r="K257" s="142"/>
      <c r="L257" s="142" t="s">
        <v>150</v>
      </c>
      <c r="M257" s="36" t="s">
        <v>150</v>
      </c>
    </row>
    <row r="258" spans="1:13" s="152" customFormat="1" ht="24" customHeight="1" thickTop="1" thickBot="1">
      <c r="A258" s="518">
        <f>A254+1</f>
        <v>56</v>
      </c>
      <c r="B258" s="150" t="s">
        <v>19</v>
      </c>
      <c r="C258" s="150" t="s">
        <v>20</v>
      </c>
      <c r="D258" s="150" t="s">
        <v>21</v>
      </c>
      <c r="E258" s="523" t="s">
        <v>22</v>
      </c>
      <c r="F258" s="523"/>
      <c r="G258" s="523" t="s">
        <v>12</v>
      </c>
      <c r="H258" s="528"/>
      <c r="I258" s="164"/>
      <c r="J258" s="126" t="s">
        <v>39</v>
      </c>
      <c r="K258" s="127"/>
      <c r="L258" s="127"/>
      <c r="M258" s="22"/>
    </row>
    <row r="259" spans="1:13" s="152" customFormat="1" ht="23.25" thickBot="1">
      <c r="A259" s="521"/>
      <c r="B259" s="128" t="s">
        <v>482</v>
      </c>
      <c r="C259" s="128" t="s">
        <v>483</v>
      </c>
      <c r="D259" s="129">
        <v>43195</v>
      </c>
      <c r="E259" s="128"/>
      <c r="F259" s="128" t="s">
        <v>484</v>
      </c>
      <c r="G259" s="524" t="s">
        <v>485</v>
      </c>
      <c r="H259" s="525"/>
      <c r="I259" s="526"/>
      <c r="J259" s="130" t="s">
        <v>163</v>
      </c>
      <c r="K259" s="130"/>
      <c r="L259" s="130" t="s">
        <v>28</v>
      </c>
      <c r="M259" s="23">
        <v>815.48</v>
      </c>
    </row>
    <row r="260" spans="1:13" s="152" customFormat="1" ht="23.25" thickBot="1">
      <c r="A260" s="521"/>
      <c r="B260" s="153" t="s">
        <v>29</v>
      </c>
      <c r="C260" s="153" t="s">
        <v>30</v>
      </c>
      <c r="D260" s="153" t="s">
        <v>31</v>
      </c>
      <c r="E260" s="527" t="s">
        <v>32</v>
      </c>
      <c r="F260" s="527"/>
      <c r="G260" s="529"/>
      <c r="H260" s="530"/>
      <c r="I260" s="531"/>
      <c r="J260" s="131" t="s">
        <v>27</v>
      </c>
      <c r="K260" s="132"/>
      <c r="L260" s="132" t="s">
        <v>28</v>
      </c>
      <c r="M260" s="24">
        <v>93.97</v>
      </c>
    </row>
    <row r="261" spans="1:13" s="152" customFormat="1" ht="23.25" thickBot="1">
      <c r="A261" s="522"/>
      <c r="B261" s="134" t="s">
        <v>395</v>
      </c>
      <c r="C261" s="134" t="s">
        <v>486</v>
      </c>
      <c r="D261" s="144">
        <v>43196</v>
      </c>
      <c r="E261" s="135" t="s">
        <v>36</v>
      </c>
      <c r="F261" s="140" t="s">
        <v>487</v>
      </c>
      <c r="G261" s="539"/>
      <c r="H261" s="540"/>
      <c r="I261" s="541"/>
      <c r="J261" s="141" t="s">
        <v>150</v>
      </c>
      <c r="K261" s="142"/>
      <c r="L261" s="142" t="s">
        <v>150</v>
      </c>
      <c r="M261" s="36" t="s">
        <v>150</v>
      </c>
    </row>
    <row r="262" spans="1:13" s="152" customFormat="1" ht="24" customHeight="1" thickTop="1" thickBot="1">
      <c r="A262" s="518">
        <f>A258+1</f>
        <v>57</v>
      </c>
      <c r="B262" s="150" t="s">
        <v>19</v>
      </c>
      <c r="C262" s="150" t="s">
        <v>20</v>
      </c>
      <c r="D262" s="150" t="s">
        <v>21</v>
      </c>
      <c r="E262" s="523" t="s">
        <v>22</v>
      </c>
      <c r="F262" s="523"/>
      <c r="G262" s="523" t="s">
        <v>12</v>
      </c>
      <c r="H262" s="528"/>
      <c r="I262" s="164"/>
      <c r="J262" s="126" t="s">
        <v>39</v>
      </c>
      <c r="K262" s="127"/>
      <c r="L262" s="127"/>
      <c r="M262" s="22"/>
    </row>
    <row r="263" spans="1:13" s="152" customFormat="1" ht="34.5" thickBot="1">
      <c r="A263" s="521"/>
      <c r="B263" s="128" t="s">
        <v>488</v>
      </c>
      <c r="C263" s="128" t="s">
        <v>489</v>
      </c>
      <c r="D263" s="129">
        <v>43212</v>
      </c>
      <c r="E263" s="128"/>
      <c r="F263" s="128" t="s">
        <v>112</v>
      </c>
      <c r="G263" s="524" t="s">
        <v>490</v>
      </c>
      <c r="H263" s="525"/>
      <c r="I263" s="526"/>
      <c r="J263" s="130" t="s">
        <v>27</v>
      </c>
      <c r="K263" s="130" t="s">
        <v>28</v>
      </c>
      <c r="L263" s="130" t="s">
        <v>150</v>
      </c>
      <c r="M263" s="23">
        <v>686.5</v>
      </c>
    </row>
    <row r="264" spans="1:13" s="152" customFormat="1" ht="23.25" thickBot="1">
      <c r="A264" s="521"/>
      <c r="B264" s="153" t="s">
        <v>29</v>
      </c>
      <c r="C264" s="153" t="s">
        <v>30</v>
      </c>
      <c r="D264" s="153" t="s">
        <v>31</v>
      </c>
      <c r="E264" s="527" t="s">
        <v>32</v>
      </c>
      <c r="F264" s="527"/>
      <c r="G264" s="529"/>
      <c r="H264" s="530"/>
      <c r="I264" s="531"/>
      <c r="J264" s="131" t="s">
        <v>38</v>
      </c>
      <c r="K264" s="132" t="s">
        <v>28</v>
      </c>
      <c r="L264" s="132" t="s">
        <v>150</v>
      </c>
      <c r="M264" s="24">
        <v>126.77</v>
      </c>
    </row>
    <row r="265" spans="1:13" s="152" customFormat="1" ht="15.75" thickBot="1">
      <c r="A265" s="521"/>
      <c r="B265" s="153"/>
      <c r="C265" s="153"/>
      <c r="D265" s="153"/>
      <c r="E265" s="153"/>
      <c r="F265" s="153"/>
      <c r="G265" s="154"/>
      <c r="H265" s="155"/>
      <c r="I265" s="156"/>
      <c r="J265" s="131" t="s">
        <v>190</v>
      </c>
      <c r="K265" s="132" t="s">
        <v>28</v>
      </c>
      <c r="L265" s="132"/>
      <c r="M265" s="24">
        <v>225</v>
      </c>
    </row>
    <row r="266" spans="1:13" s="152" customFormat="1" ht="23.25" thickBot="1">
      <c r="A266" s="522"/>
      <c r="B266" s="134" t="s">
        <v>341</v>
      </c>
      <c r="C266" s="134" t="s">
        <v>491</v>
      </c>
      <c r="D266" s="144">
        <v>43215</v>
      </c>
      <c r="E266" s="135" t="s">
        <v>36</v>
      </c>
      <c r="F266" s="140" t="s">
        <v>492</v>
      </c>
      <c r="G266" s="539"/>
      <c r="H266" s="540"/>
      <c r="I266" s="541"/>
      <c r="J266" s="141" t="s">
        <v>193</v>
      </c>
      <c r="K266" s="142" t="s">
        <v>28</v>
      </c>
      <c r="L266" s="142" t="s">
        <v>150</v>
      </c>
      <c r="M266" s="36">
        <v>655.27</v>
      </c>
    </row>
    <row r="267" spans="1:13" s="152" customFormat="1" ht="24" thickTop="1" thickBot="1">
      <c r="A267" s="518">
        <f>A262+1</f>
        <v>58</v>
      </c>
      <c r="B267" s="150" t="s">
        <v>19</v>
      </c>
      <c r="C267" s="150" t="s">
        <v>20</v>
      </c>
      <c r="D267" s="150" t="s">
        <v>21</v>
      </c>
      <c r="E267" s="523" t="s">
        <v>22</v>
      </c>
      <c r="F267" s="523"/>
      <c r="G267" s="523" t="s">
        <v>12</v>
      </c>
      <c r="H267" s="528"/>
      <c r="I267" s="164"/>
      <c r="J267" s="126" t="s">
        <v>39</v>
      </c>
      <c r="K267" s="127"/>
      <c r="L267" s="127"/>
      <c r="M267" s="22"/>
    </row>
    <row r="268" spans="1:13" s="152" customFormat="1" ht="57" thickBot="1">
      <c r="A268" s="521"/>
      <c r="B268" s="128" t="s">
        <v>493</v>
      </c>
      <c r="C268" s="128" t="s">
        <v>494</v>
      </c>
      <c r="D268" s="129">
        <v>43201</v>
      </c>
      <c r="E268" s="128"/>
      <c r="F268" s="128" t="s">
        <v>495</v>
      </c>
      <c r="G268" s="524" t="s">
        <v>496</v>
      </c>
      <c r="H268" s="525"/>
      <c r="I268" s="526"/>
      <c r="J268" s="130" t="s">
        <v>207</v>
      </c>
      <c r="K268" s="130"/>
      <c r="L268" s="130" t="s">
        <v>28</v>
      </c>
      <c r="M268" s="23">
        <v>543</v>
      </c>
    </row>
    <row r="269" spans="1:13" s="152" customFormat="1" ht="23.25" thickBot="1">
      <c r="A269" s="521"/>
      <c r="B269" s="153" t="s">
        <v>29</v>
      </c>
      <c r="C269" s="153" t="s">
        <v>30</v>
      </c>
      <c r="D269" s="153" t="s">
        <v>31</v>
      </c>
      <c r="E269" s="527" t="s">
        <v>32</v>
      </c>
      <c r="F269" s="527"/>
      <c r="G269" s="529"/>
      <c r="H269" s="530"/>
      <c r="I269" s="531"/>
      <c r="J269" s="131" t="s">
        <v>27</v>
      </c>
      <c r="K269" s="132"/>
      <c r="L269" s="132" t="s">
        <v>28</v>
      </c>
      <c r="M269" s="24">
        <v>196.88</v>
      </c>
    </row>
    <row r="270" spans="1:13" s="152" customFormat="1" ht="15.75" thickBot="1">
      <c r="A270" s="522"/>
      <c r="B270" s="134" t="s">
        <v>341</v>
      </c>
      <c r="C270" s="134" t="s">
        <v>497</v>
      </c>
      <c r="D270" s="144">
        <v>43203</v>
      </c>
      <c r="E270" s="135" t="s">
        <v>36</v>
      </c>
      <c r="F270" s="140" t="s">
        <v>498</v>
      </c>
      <c r="G270" s="539"/>
      <c r="H270" s="540"/>
      <c r="I270" s="541"/>
      <c r="J270" s="141" t="s">
        <v>38</v>
      </c>
      <c r="K270" s="142" t="s">
        <v>28</v>
      </c>
      <c r="L270" s="142" t="s">
        <v>150</v>
      </c>
      <c r="M270" s="36">
        <v>160</v>
      </c>
    </row>
    <row r="271" spans="1:13" s="152" customFormat="1" ht="24" thickTop="1" thickBot="1">
      <c r="A271" s="518">
        <f t="shared" ref="A271" si="0">A267+1</f>
        <v>59</v>
      </c>
      <c r="B271" s="150" t="s">
        <v>19</v>
      </c>
      <c r="C271" s="150" t="s">
        <v>20</v>
      </c>
      <c r="D271" s="150" t="s">
        <v>21</v>
      </c>
      <c r="E271" s="523" t="s">
        <v>22</v>
      </c>
      <c r="F271" s="523"/>
      <c r="G271" s="523" t="s">
        <v>12</v>
      </c>
      <c r="H271" s="528"/>
      <c r="I271" s="164"/>
      <c r="J271" s="126" t="s">
        <v>39</v>
      </c>
      <c r="K271" s="127"/>
      <c r="L271" s="127"/>
      <c r="M271" s="22"/>
    </row>
    <row r="272" spans="1:13" s="152" customFormat="1" ht="45.75" thickBot="1">
      <c r="A272" s="521"/>
      <c r="B272" s="128" t="s">
        <v>450</v>
      </c>
      <c r="C272" s="128" t="s">
        <v>499</v>
      </c>
      <c r="D272" s="129">
        <v>43205</v>
      </c>
      <c r="E272" s="128"/>
      <c r="F272" s="128" t="s">
        <v>500</v>
      </c>
      <c r="G272" s="524" t="s">
        <v>501</v>
      </c>
      <c r="H272" s="525"/>
      <c r="I272" s="526"/>
      <c r="J272" s="130" t="s">
        <v>163</v>
      </c>
      <c r="K272" s="130"/>
      <c r="L272" s="130" t="s">
        <v>28</v>
      </c>
      <c r="M272" s="23">
        <v>652.5</v>
      </c>
    </row>
    <row r="273" spans="1:13" s="152" customFormat="1" ht="23.25" thickBot="1">
      <c r="A273" s="521"/>
      <c r="B273" s="153" t="s">
        <v>29</v>
      </c>
      <c r="C273" s="153" t="s">
        <v>30</v>
      </c>
      <c r="D273" s="153" t="s">
        <v>31</v>
      </c>
      <c r="E273" s="527" t="s">
        <v>32</v>
      </c>
      <c r="F273" s="527"/>
      <c r="G273" s="529"/>
      <c r="H273" s="530"/>
      <c r="I273" s="531"/>
      <c r="J273" s="131" t="s">
        <v>27</v>
      </c>
      <c r="K273" s="132"/>
      <c r="L273" s="132" t="s">
        <v>28</v>
      </c>
      <c r="M273" s="24">
        <v>1113.18</v>
      </c>
    </row>
    <row r="274" spans="1:13" s="152" customFormat="1" ht="15.75" thickBot="1">
      <c r="A274" s="522"/>
      <c r="B274" s="134" t="s">
        <v>341</v>
      </c>
      <c r="C274" s="134" t="s">
        <v>501</v>
      </c>
      <c r="D274" s="144">
        <v>43210</v>
      </c>
      <c r="E274" s="135" t="s">
        <v>36</v>
      </c>
      <c r="F274" s="140" t="s">
        <v>502</v>
      </c>
      <c r="G274" s="539"/>
      <c r="H274" s="540"/>
      <c r="I274" s="541"/>
      <c r="J274" s="141" t="s">
        <v>38</v>
      </c>
      <c r="K274" s="142"/>
      <c r="L274" s="142" t="s">
        <v>28</v>
      </c>
      <c r="M274" s="36">
        <v>324.5</v>
      </c>
    </row>
    <row r="275" spans="1:13" s="152" customFormat="1" ht="24" customHeight="1" thickTop="1" thickBot="1">
      <c r="A275" s="518">
        <f t="shared" ref="A275" si="1">A271+1</f>
        <v>60</v>
      </c>
      <c r="B275" s="150" t="s">
        <v>19</v>
      </c>
      <c r="C275" s="150" t="s">
        <v>20</v>
      </c>
      <c r="D275" s="150" t="s">
        <v>21</v>
      </c>
      <c r="E275" s="523" t="s">
        <v>22</v>
      </c>
      <c r="F275" s="523"/>
      <c r="G275" s="523" t="s">
        <v>12</v>
      </c>
      <c r="H275" s="528"/>
      <c r="I275" s="164"/>
      <c r="J275" s="126" t="s">
        <v>39</v>
      </c>
      <c r="K275" s="127"/>
      <c r="L275" s="127"/>
      <c r="M275" s="22"/>
    </row>
    <row r="276" spans="1:13" s="152" customFormat="1" ht="57" thickBot="1">
      <c r="A276" s="521"/>
      <c r="B276" s="128" t="s">
        <v>503</v>
      </c>
      <c r="C276" s="128" t="s">
        <v>504</v>
      </c>
      <c r="D276" s="129">
        <v>43345</v>
      </c>
      <c r="E276" s="128"/>
      <c r="F276" s="128" t="s">
        <v>505</v>
      </c>
      <c r="G276" s="524" t="s">
        <v>506</v>
      </c>
      <c r="H276" s="525"/>
      <c r="I276" s="526"/>
      <c r="J276" s="130" t="s">
        <v>163</v>
      </c>
      <c r="K276" s="130"/>
      <c r="L276" s="130" t="s">
        <v>28</v>
      </c>
      <c r="M276" s="23">
        <v>1954</v>
      </c>
    </row>
    <row r="277" spans="1:13" s="152" customFormat="1" ht="23.25" thickBot="1">
      <c r="A277" s="521"/>
      <c r="B277" s="153" t="s">
        <v>29</v>
      </c>
      <c r="C277" s="153" t="s">
        <v>30</v>
      </c>
      <c r="D277" s="153" t="s">
        <v>31</v>
      </c>
      <c r="E277" s="527" t="s">
        <v>32</v>
      </c>
      <c r="F277" s="527"/>
      <c r="G277" s="529"/>
      <c r="H277" s="530"/>
      <c r="I277" s="531"/>
      <c r="J277" s="131" t="s">
        <v>190</v>
      </c>
      <c r="K277" s="132"/>
      <c r="L277" s="132" t="s">
        <v>28</v>
      </c>
      <c r="M277" s="24">
        <v>885</v>
      </c>
    </row>
    <row r="278" spans="1:13" s="152" customFormat="1" ht="23.25" thickBot="1">
      <c r="A278" s="522"/>
      <c r="B278" s="134" t="s">
        <v>480</v>
      </c>
      <c r="C278" s="134" t="s">
        <v>507</v>
      </c>
      <c r="D278" s="144">
        <v>43352</v>
      </c>
      <c r="E278" s="135" t="s">
        <v>36</v>
      </c>
      <c r="F278" s="140" t="s">
        <v>508</v>
      </c>
      <c r="G278" s="539"/>
      <c r="H278" s="540"/>
      <c r="I278" s="541"/>
      <c r="J278" s="141" t="s">
        <v>150</v>
      </c>
      <c r="K278" s="142"/>
      <c r="L278" s="142" t="s">
        <v>150</v>
      </c>
      <c r="M278" s="36" t="s">
        <v>150</v>
      </c>
    </row>
    <row r="279" spans="1:13" s="152" customFormat="1" ht="24" customHeight="1" thickTop="1" thickBot="1">
      <c r="A279" s="518">
        <f>A275+1</f>
        <v>61</v>
      </c>
      <c r="B279" s="150" t="s">
        <v>19</v>
      </c>
      <c r="C279" s="150" t="s">
        <v>20</v>
      </c>
      <c r="D279" s="150" t="s">
        <v>21</v>
      </c>
      <c r="E279" s="523" t="s">
        <v>22</v>
      </c>
      <c r="F279" s="523"/>
      <c r="G279" s="523" t="s">
        <v>12</v>
      </c>
      <c r="H279" s="528"/>
      <c r="I279" s="164"/>
      <c r="J279" s="126" t="s">
        <v>39</v>
      </c>
      <c r="K279" s="127"/>
      <c r="L279" s="127"/>
      <c r="M279" s="22"/>
    </row>
    <row r="280" spans="1:13" s="152" customFormat="1" ht="23.25" thickBot="1">
      <c r="A280" s="521"/>
      <c r="B280" s="128" t="s">
        <v>503</v>
      </c>
      <c r="C280" s="128" t="s">
        <v>509</v>
      </c>
      <c r="D280" s="129">
        <v>43289</v>
      </c>
      <c r="E280" s="128"/>
      <c r="F280" s="128" t="s">
        <v>106</v>
      </c>
      <c r="G280" s="524" t="s">
        <v>510</v>
      </c>
      <c r="H280" s="525"/>
      <c r="I280" s="526"/>
      <c r="J280" s="130" t="s">
        <v>27</v>
      </c>
      <c r="K280" s="130"/>
      <c r="L280" s="130" t="s">
        <v>28</v>
      </c>
      <c r="M280" s="23">
        <v>375</v>
      </c>
    </row>
    <row r="281" spans="1:13" s="152" customFormat="1" ht="23.25" thickBot="1">
      <c r="A281" s="521"/>
      <c r="B281" s="153" t="s">
        <v>29</v>
      </c>
      <c r="C281" s="153" t="s">
        <v>30</v>
      </c>
      <c r="D281" s="153" t="s">
        <v>31</v>
      </c>
      <c r="E281" s="527" t="s">
        <v>32</v>
      </c>
      <c r="F281" s="527"/>
      <c r="G281" s="529"/>
      <c r="H281" s="530"/>
      <c r="I281" s="531"/>
      <c r="J281" s="131" t="s">
        <v>190</v>
      </c>
      <c r="K281" s="132"/>
      <c r="L281" s="132" t="s">
        <v>28</v>
      </c>
      <c r="M281" s="24">
        <v>55</v>
      </c>
    </row>
    <row r="282" spans="1:13" s="152" customFormat="1" ht="23.25" thickBot="1">
      <c r="A282" s="522"/>
      <c r="B282" s="134" t="s">
        <v>480</v>
      </c>
      <c r="C282" s="134" t="s">
        <v>511</v>
      </c>
      <c r="D282" s="144">
        <v>43294</v>
      </c>
      <c r="E282" s="135" t="s">
        <v>36</v>
      </c>
      <c r="F282" s="140" t="s">
        <v>512</v>
      </c>
      <c r="G282" s="539"/>
      <c r="H282" s="540"/>
      <c r="I282" s="541"/>
      <c r="J282" s="141" t="s">
        <v>150</v>
      </c>
      <c r="K282" s="142"/>
      <c r="L282" s="142" t="s">
        <v>150</v>
      </c>
      <c r="M282" s="36" t="s">
        <v>150</v>
      </c>
    </row>
    <row r="283" spans="1:13" s="152" customFormat="1" ht="24" customHeight="1" thickTop="1" thickBot="1">
      <c r="A283" s="518">
        <f>A279+1</f>
        <v>62</v>
      </c>
      <c r="B283" s="150" t="s">
        <v>19</v>
      </c>
      <c r="C283" s="150" t="s">
        <v>20</v>
      </c>
      <c r="D283" s="150" t="s">
        <v>21</v>
      </c>
      <c r="E283" s="523" t="s">
        <v>22</v>
      </c>
      <c r="F283" s="523"/>
      <c r="G283" s="523" t="s">
        <v>12</v>
      </c>
      <c r="H283" s="528"/>
      <c r="I283" s="164"/>
      <c r="J283" s="126" t="s">
        <v>39</v>
      </c>
      <c r="K283" s="127"/>
      <c r="L283" s="127"/>
      <c r="M283" s="22"/>
    </row>
    <row r="284" spans="1:13" s="152" customFormat="1" ht="45.75" thickBot="1">
      <c r="A284" s="521"/>
      <c r="B284" s="128" t="s">
        <v>513</v>
      </c>
      <c r="C284" s="128" t="s">
        <v>514</v>
      </c>
      <c r="D284" s="129">
        <v>43307</v>
      </c>
      <c r="E284" s="128"/>
      <c r="F284" s="128" t="s">
        <v>515</v>
      </c>
      <c r="G284" s="524" t="s">
        <v>516</v>
      </c>
      <c r="H284" s="525"/>
      <c r="I284" s="526"/>
      <c r="J284" s="130" t="s">
        <v>163</v>
      </c>
      <c r="K284" s="130"/>
      <c r="L284" s="130" t="s">
        <v>28</v>
      </c>
      <c r="M284" s="23">
        <v>630</v>
      </c>
    </row>
    <row r="285" spans="1:13" s="152" customFormat="1" ht="23.25" thickBot="1">
      <c r="A285" s="521"/>
      <c r="B285" s="153" t="s">
        <v>29</v>
      </c>
      <c r="C285" s="153" t="s">
        <v>30</v>
      </c>
      <c r="D285" s="153" t="s">
        <v>31</v>
      </c>
      <c r="E285" s="527" t="s">
        <v>32</v>
      </c>
      <c r="F285" s="527"/>
      <c r="G285" s="529"/>
      <c r="H285" s="530"/>
      <c r="I285" s="531"/>
      <c r="J285" s="131" t="s">
        <v>27</v>
      </c>
      <c r="K285" s="132"/>
      <c r="L285" s="132" t="s">
        <v>28</v>
      </c>
      <c r="M285" s="24">
        <v>150</v>
      </c>
    </row>
    <row r="286" spans="1:13" s="152" customFormat="1" ht="23.25" thickBot="1">
      <c r="A286" s="522"/>
      <c r="B286" s="134" t="s">
        <v>517</v>
      </c>
      <c r="C286" s="134" t="s">
        <v>516</v>
      </c>
      <c r="D286" s="144">
        <v>43308</v>
      </c>
      <c r="E286" s="135" t="s">
        <v>36</v>
      </c>
      <c r="F286" s="140" t="s">
        <v>518</v>
      </c>
      <c r="G286" s="539"/>
      <c r="H286" s="540"/>
      <c r="I286" s="541"/>
      <c r="J286" s="141" t="s">
        <v>38</v>
      </c>
      <c r="K286" s="142"/>
      <c r="L286" s="142" t="s">
        <v>28</v>
      </c>
      <c r="M286" s="36">
        <v>75</v>
      </c>
    </row>
    <row r="287" spans="1:13" s="152" customFormat="1" ht="24" customHeight="1" thickTop="1" thickBot="1">
      <c r="A287" s="518">
        <f>A283+1</f>
        <v>63</v>
      </c>
      <c r="B287" s="150" t="s">
        <v>19</v>
      </c>
      <c r="C287" s="150" t="s">
        <v>20</v>
      </c>
      <c r="D287" s="150" t="s">
        <v>21</v>
      </c>
      <c r="E287" s="523" t="s">
        <v>22</v>
      </c>
      <c r="F287" s="523"/>
      <c r="G287" s="523" t="s">
        <v>12</v>
      </c>
      <c r="H287" s="528"/>
      <c r="I287" s="164"/>
      <c r="J287" s="126" t="s">
        <v>39</v>
      </c>
      <c r="K287" s="127"/>
      <c r="L287" s="127"/>
      <c r="M287" s="22"/>
    </row>
    <row r="288" spans="1:13" s="152" customFormat="1" ht="45.75" thickBot="1">
      <c r="A288" s="521"/>
      <c r="B288" s="128" t="s">
        <v>519</v>
      </c>
      <c r="C288" s="128" t="s">
        <v>520</v>
      </c>
      <c r="D288" s="129">
        <v>43193</v>
      </c>
      <c r="E288" s="128"/>
      <c r="F288" s="128" t="s">
        <v>100</v>
      </c>
      <c r="G288" s="524" t="s">
        <v>521</v>
      </c>
      <c r="H288" s="525"/>
      <c r="I288" s="526"/>
      <c r="J288" s="130" t="s">
        <v>27</v>
      </c>
      <c r="K288" s="130"/>
      <c r="L288" s="130" t="s">
        <v>28</v>
      </c>
      <c r="M288" s="23">
        <v>300</v>
      </c>
    </row>
    <row r="289" spans="1:13" s="152" customFormat="1" ht="23.25" thickBot="1">
      <c r="A289" s="521"/>
      <c r="B289" s="153" t="s">
        <v>29</v>
      </c>
      <c r="C289" s="153" t="s">
        <v>30</v>
      </c>
      <c r="D289" s="153" t="s">
        <v>31</v>
      </c>
      <c r="E289" s="527" t="s">
        <v>32</v>
      </c>
      <c r="F289" s="527"/>
      <c r="G289" s="529"/>
      <c r="H289" s="530"/>
      <c r="I289" s="531"/>
      <c r="J289" s="131" t="s">
        <v>150</v>
      </c>
      <c r="K289" s="132"/>
      <c r="L289" s="132" t="s">
        <v>150</v>
      </c>
      <c r="M289" s="24" t="s">
        <v>150</v>
      </c>
    </row>
    <row r="290" spans="1:13" s="152" customFormat="1" ht="15.75" thickBot="1">
      <c r="A290" s="522"/>
      <c r="B290" s="134" t="s">
        <v>517</v>
      </c>
      <c r="C290" s="134" t="s">
        <v>150</v>
      </c>
      <c r="D290" s="144">
        <v>43195</v>
      </c>
      <c r="E290" s="135" t="s">
        <v>36</v>
      </c>
      <c r="F290" s="202" t="s">
        <v>522</v>
      </c>
      <c r="G290" s="539"/>
      <c r="H290" s="540"/>
      <c r="I290" s="541"/>
      <c r="J290" s="141" t="s">
        <v>150</v>
      </c>
      <c r="K290" s="142"/>
      <c r="L290" s="142" t="s">
        <v>150</v>
      </c>
      <c r="M290" s="36" t="s">
        <v>150</v>
      </c>
    </row>
    <row r="291" spans="1:13" s="152" customFormat="1" ht="24" customHeight="1" thickTop="1" thickBot="1">
      <c r="A291" s="518">
        <f>A290+64</f>
        <v>64</v>
      </c>
      <c r="B291" s="150" t="s">
        <v>19</v>
      </c>
      <c r="C291" s="150" t="s">
        <v>20</v>
      </c>
      <c r="D291" s="150" t="s">
        <v>21</v>
      </c>
      <c r="E291" s="523" t="s">
        <v>22</v>
      </c>
      <c r="F291" s="523"/>
      <c r="G291" s="523" t="s">
        <v>12</v>
      </c>
      <c r="H291" s="528"/>
      <c r="I291" s="164"/>
      <c r="J291" s="126" t="s">
        <v>39</v>
      </c>
      <c r="K291" s="127"/>
      <c r="L291" s="127"/>
      <c r="M291" s="22"/>
    </row>
    <row r="292" spans="1:13" s="152" customFormat="1" ht="45.75" thickBot="1">
      <c r="A292" s="521"/>
      <c r="B292" s="128" t="s">
        <v>523</v>
      </c>
      <c r="C292" s="128" t="s">
        <v>524</v>
      </c>
      <c r="D292" s="129">
        <v>43297</v>
      </c>
      <c r="E292" s="128"/>
      <c r="F292" s="128" t="s">
        <v>525</v>
      </c>
      <c r="G292" s="524" t="s">
        <v>526</v>
      </c>
      <c r="H292" s="525"/>
      <c r="I292" s="526"/>
      <c r="J292" s="130" t="s">
        <v>163</v>
      </c>
      <c r="K292" s="130"/>
      <c r="L292" s="130" t="s">
        <v>28</v>
      </c>
      <c r="M292" s="23">
        <v>451.6</v>
      </c>
    </row>
    <row r="293" spans="1:13" s="152" customFormat="1" ht="23.25" thickBot="1">
      <c r="A293" s="521"/>
      <c r="B293" s="153" t="s">
        <v>29</v>
      </c>
      <c r="C293" s="153" t="s">
        <v>30</v>
      </c>
      <c r="D293" s="153" t="s">
        <v>31</v>
      </c>
      <c r="E293" s="527" t="s">
        <v>32</v>
      </c>
      <c r="F293" s="527"/>
      <c r="G293" s="529"/>
      <c r="H293" s="530"/>
      <c r="I293" s="531"/>
      <c r="J293" s="131" t="s">
        <v>150</v>
      </c>
      <c r="K293" s="132"/>
      <c r="L293" s="132" t="s">
        <v>150</v>
      </c>
      <c r="M293" s="24" t="s">
        <v>150</v>
      </c>
    </row>
    <row r="294" spans="1:13" s="152" customFormat="1" ht="15.75" thickBot="1">
      <c r="A294" s="522"/>
      <c r="B294" s="134" t="s">
        <v>195</v>
      </c>
      <c r="C294" s="134" t="s">
        <v>526</v>
      </c>
      <c r="D294" s="144">
        <v>43300</v>
      </c>
      <c r="E294" s="135" t="s">
        <v>36</v>
      </c>
      <c r="F294" s="140" t="s">
        <v>527</v>
      </c>
      <c r="G294" s="539"/>
      <c r="H294" s="540"/>
      <c r="I294" s="541"/>
      <c r="J294" s="141" t="s">
        <v>150</v>
      </c>
      <c r="K294" s="142"/>
      <c r="L294" s="142" t="s">
        <v>150</v>
      </c>
      <c r="M294" s="36" t="s">
        <v>150</v>
      </c>
    </row>
    <row r="295" spans="1:13" s="152" customFormat="1" ht="24" customHeight="1" thickTop="1" thickBot="1">
      <c r="A295" s="518">
        <f t="shared" ref="A295" si="2">A291+1</f>
        <v>65</v>
      </c>
      <c r="B295" s="150" t="s">
        <v>19</v>
      </c>
      <c r="C295" s="150" t="s">
        <v>20</v>
      </c>
      <c r="D295" s="150" t="s">
        <v>21</v>
      </c>
      <c r="E295" s="523" t="s">
        <v>22</v>
      </c>
      <c r="F295" s="523"/>
      <c r="G295" s="523" t="s">
        <v>12</v>
      </c>
      <c r="H295" s="528"/>
      <c r="I295" s="164"/>
      <c r="J295" s="126" t="s">
        <v>39</v>
      </c>
      <c r="K295" s="127"/>
      <c r="L295" s="127"/>
      <c r="M295" s="22"/>
    </row>
    <row r="296" spans="1:13" s="152" customFormat="1" ht="45.75" thickBot="1">
      <c r="A296" s="521"/>
      <c r="B296" s="128" t="s">
        <v>528</v>
      </c>
      <c r="C296" s="128" t="s">
        <v>529</v>
      </c>
      <c r="D296" s="129">
        <v>43240</v>
      </c>
      <c r="E296" s="128"/>
      <c r="F296" s="128" t="s">
        <v>530</v>
      </c>
      <c r="G296" s="524" t="s">
        <v>531</v>
      </c>
      <c r="H296" s="525"/>
      <c r="I296" s="526"/>
      <c r="J296" s="130" t="s">
        <v>163</v>
      </c>
      <c r="K296" s="130"/>
      <c r="L296" s="130" t="s">
        <v>28</v>
      </c>
      <c r="M296" s="23">
        <v>338.5</v>
      </c>
    </row>
    <row r="297" spans="1:13" s="152" customFormat="1" ht="23.25" thickBot="1">
      <c r="A297" s="521"/>
      <c r="B297" s="153" t="s">
        <v>29</v>
      </c>
      <c r="C297" s="153" t="s">
        <v>30</v>
      </c>
      <c r="D297" s="153" t="s">
        <v>31</v>
      </c>
      <c r="E297" s="527" t="s">
        <v>32</v>
      </c>
      <c r="F297" s="527"/>
      <c r="G297" s="529"/>
      <c r="H297" s="530"/>
      <c r="I297" s="531"/>
      <c r="J297" s="131" t="s">
        <v>27</v>
      </c>
      <c r="K297" s="132"/>
      <c r="L297" s="132" t="s">
        <v>28</v>
      </c>
      <c r="M297" s="24">
        <v>267</v>
      </c>
    </row>
    <row r="298" spans="1:13" s="152" customFormat="1" ht="15.75" thickBot="1">
      <c r="A298" s="522"/>
      <c r="B298" s="134" t="s">
        <v>532</v>
      </c>
      <c r="C298" s="134" t="s">
        <v>533</v>
      </c>
      <c r="D298" s="144">
        <v>43241</v>
      </c>
      <c r="E298" s="135" t="s">
        <v>36</v>
      </c>
      <c r="F298" s="140" t="s">
        <v>534</v>
      </c>
      <c r="G298" s="539"/>
      <c r="H298" s="540"/>
      <c r="I298" s="541"/>
      <c r="J298" s="141" t="s">
        <v>150</v>
      </c>
      <c r="K298" s="142"/>
      <c r="L298" s="142" t="s">
        <v>150</v>
      </c>
      <c r="M298" s="36" t="s">
        <v>150</v>
      </c>
    </row>
    <row r="299" spans="1:13" s="152" customFormat="1" ht="24" customHeight="1" thickTop="1" thickBot="1">
      <c r="A299" s="518">
        <f t="shared" ref="A299" si="3">A295+1</f>
        <v>66</v>
      </c>
      <c r="B299" s="150" t="s">
        <v>19</v>
      </c>
      <c r="C299" s="150" t="s">
        <v>20</v>
      </c>
      <c r="D299" s="150" t="s">
        <v>21</v>
      </c>
      <c r="E299" s="523" t="s">
        <v>22</v>
      </c>
      <c r="F299" s="523"/>
      <c r="G299" s="565" t="s">
        <v>12</v>
      </c>
      <c r="H299" s="566"/>
      <c r="I299" s="567"/>
      <c r="J299" s="126" t="s">
        <v>39</v>
      </c>
      <c r="K299" s="99"/>
      <c r="L299" s="99"/>
      <c r="M299" s="100"/>
    </row>
    <row r="300" spans="1:13" s="152" customFormat="1" ht="23.25" thickBot="1">
      <c r="A300" s="521"/>
      <c r="B300" s="128" t="s">
        <v>211</v>
      </c>
      <c r="C300" s="128" t="s">
        <v>535</v>
      </c>
      <c r="D300" s="129">
        <v>43202</v>
      </c>
      <c r="E300" s="128"/>
      <c r="F300" s="128" t="s">
        <v>212</v>
      </c>
      <c r="G300" s="524" t="s">
        <v>213</v>
      </c>
      <c r="H300" s="585"/>
      <c r="I300" s="586"/>
      <c r="J300" s="130" t="s">
        <v>163</v>
      </c>
      <c r="K300" s="87"/>
      <c r="L300" s="87" t="s">
        <v>28</v>
      </c>
      <c r="M300" s="95">
        <v>872.6</v>
      </c>
    </row>
    <row r="301" spans="1:13" s="152" customFormat="1" ht="23.25" thickBot="1">
      <c r="A301" s="521"/>
      <c r="B301" s="153" t="s">
        <v>29</v>
      </c>
      <c r="C301" s="153" t="s">
        <v>30</v>
      </c>
      <c r="D301" s="153" t="s">
        <v>31</v>
      </c>
      <c r="E301" s="580" t="s">
        <v>32</v>
      </c>
      <c r="F301" s="581"/>
      <c r="G301" s="529"/>
      <c r="H301" s="530"/>
      <c r="I301" s="531"/>
      <c r="J301" s="131" t="s">
        <v>108</v>
      </c>
      <c r="K301" s="90"/>
      <c r="L301" s="90" t="s">
        <v>28</v>
      </c>
      <c r="M301" s="96">
        <v>230</v>
      </c>
    </row>
    <row r="302" spans="1:13" s="152" customFormat="1" ht="15.75" thickBot="1">
      <c r="A302" s="521"/>
      <c r="B302" s="203"/>
      <c r="C302" s="153"/>
      <c r="D302" s="153"/>
      <c r="E302" s="172"/>
      <c r="F302" s="173"/>
      <c r="G302" s="529"/>
      <c r="H302" s="530"/>
      <c r="I302" s="531"/>
      <c r="J302" s="131" t="s">
        <v>536</v>
      </c>
      <c r="K302" s="90"/>
      <c r="L302" s="90" t="s">
        <v>28</v>
      </c>
      <c r="M302" s="96">
        <v>130</v>
      </c>
    </row>
    <row r="303" spans="1:13" s="152" customFormat="1" ht="23.25" thickBot="1">
      <c r="A303" s="522"/>
      <c r="B303" s="133" t="s">
        <v>201</v>
      </c>
      <c r="C303" s="133" t="s">
        <v>213</v>
      </c>
      <c r="D303" s="144">
        <v>43202</v>
      </c>
      <c r="E303" s="135" t="s">
        <v>36</v>
      </c>
      <c r="F303" s="136" t="s">
        <v>537</v>
      </c>
      <c r="G303" s="582"/>
      <c r="H303" s="583"/>
      <c r="I303" s="584"/>
      <c r="J303" s="131" t="s">
        <v>203</v>
      </c>
      <c r="K303" s="90" t="s">
        <v>28</v>
      </c>
      <c r="L303" s="90"/>
      <c r="M303" s="96">
        <v>93.31</v>
      </c>
    </row>
    <row r="304" spans="1:13" s="152" customFormat="1" ht="24" customHeight="1" thickTop="1" thickBot="1">
      <c r="A304" s="518">
        <f>A299+1</f>
        <v>67</v>
      </c>
      <c r="B304" s="150" t="s">
        <v>19</v>
      </c>
      <c r="C304" s="150" t="s">
        <v>20</v>
      </c>
      <c r="D304" s="150" t="s">
        <v>21</v>
      </c>
      <c r="E304" s="528" t="s">
        <v>22</v>
      </c>
      <c r="F304" s="579"/>
      <c r="G304" s="528" t="s">
        <v>12</v>
      </c>
      <c r="H304" s="593"/>
      <c r="I304" s="164"/>
      <c r="J304" s="126" t="s">
        <v>39</v>
      </c>
      <c r="K304" s="99"/>
      <c r="L304" s="99"/>
      <c r="M304" s="100"/>
    </row>
    <row r="305" spans="1:13" s="152" customFormat="1" ht="23.25" thickBot="1">
      <c r="A305" s="521"/>
      <c r="B305" s="128" t="s">
        <v>208</v>
      </c>
      <c r="C305" s="128" t="s">
        <v>538</v>
      </c>
      <c r="D305" s="129">
        <v>43202</v>
      </c>
      <c r="E305" s="128"/>
      <c r="F305" s="128" t="s">
        <v>539</v>
      </c>
      <c r="G305" s="524" t="s">
        <v>126</v>
      </c>
      <c r="H305" s="585"/>
      <c r="I305" s="586"/>
      <c r="J305" s="130" t="s">
        <v>163</v>
      </c>
      <c r="K305" s="87"/>
      <c r="L305" s="87" t="s">
        <v>28</v>
      </c>
      <c r="M305" s="204">
        <v>534</v>
      </c>
    </row>
    <row r="306" spans="1:13" s="152" customFormat="1" ht="23.25" thickBot="1">
      <c r="A306" s="521"/>
      <c r="B306" s="153" t="s">
        <v>29</v>
      </c>
      <c r="C306" s="153" t="s">
        <v>30</v>
      </c>
      <c r="D306" s="153" t="s">
        <v>31</v>
      </c>
      <c r="E306" s="580" t="s">
        <v>32</v>
      </c>
      <c r="F306" s="581"/>
      <c r="G306" s="529"/>
      <c r="H306" s="530"/>
      <c r="I306" s="531"/>
      <c r="J306" s="131" t="s">
        <v>108</v>
      </c>
      <c r="K306" s="90"/>
      <c r="L306" s="90" t="s">
        <v>28</v>
      </c>
      <c r="M306" s="205">
        <v>300</v>
      </c>
    </row>
    <row r="307" spans="1:13" s="152" customFormat="1" ht="15.75" thickBot="1">
      <c r="A307" s="521"/>
      <c r="B307" s="153"/>
      <c r="C307" s="153"/>
      <c r="D307" s="153"/>
      <c r="E307" s="172"/>
      <c r="F307" s="173"/>
      <c r="G307" s="154"/>
      <c r="H307" s="155"/>
      <c r="I307" s="156"/>
      <c r="J307" s="131" t="s">
        <v>38</v>
      </c>
      <c r="K307" s="90"/>
      <c r="L307" s="90" t="s">
        <v>28</v>
      </c>
      <c r="M307" s="96">
        <v>200</v>
      </c>
    </row>
    <row r="308" spans="1:13" s="152" customFormat="1" ht="23.25" thickBot="1">
      <c r="A308" s="522"/>
      <c r="B308" s="134" t="s">
        <v>201</v>
      </c>
      <c r="C308" s="134" t="s">
        <v>126</v>
      </c>
      <c r="D308" s="144">
        <v>43203</v>
      </c>
      <c r="E308" s="135" t="s">
        <v>36</v>
      </c>
      <c r="F308" s="140" t="s">
        <v>540</v>
      </c>
      <c r="G308" s="539"/>
      <c r="H308" s="540"/>
      <c r="I308" s="541"/>
      <c r="J308" s="141" t="s">
        <v>202</v>
      </c>
      <c r="K308" s="110"/>
      <c r="L308" s="110" t="s">
        <v>28</v>
      </c>
      <c r="M308" s="118">
        <v>120</v>
      </c>
    </row>
    <row r="309" spans="1:13" s="152" customFormat="1" ht="24" customHeight="1" thickTop="1" thickBot="1">
      <c r="A309" s="518">
        <f>A304+1</f>
        <v>68</v>
      </c>
      <c r="B309" s="150" t="s">
        <v>19</v>
      </c>
      <c r="C309" s="150" t="s">
        <v>20</v>
      </c>
      <c r="D309" s="150" t="s">
        <v>21</v>
      </c>
      <c r="E309" s="523" t="s">
        <v>22</v>
      </c>
      <c r="F309" s="523"/>
      <c r="G309" s="523" t="s">
        <v>12</v>
      </c>
      <c r="H309" s="528"/>
      <c r="I309" s="164"/>
      <c r="J309" s="126" t="s">
        <v>39</v>
      </c>
      <c r="K309" s="99"/>
      <c r="L309" s="99"/>
      <c r="M309" s="109"/>
    </row>
    <row r="310" spans="1:13" s="152" customFormat="1" ht="23.25" thickBot="1">
      <c r="A310" s="521"/>
      <c r="B310" s="128" t="s">
        <v>204</v>
      </c>
      <c r="C310" s="128" t="s">
        <v>541</v>
      </c>
      <c r="D310" s="129">
        <v>43237</v>
      </c>
      <c r="E310" s="128"/>
      <c r="F310" s="128" t="s">
        <v>185</v>
      </c>
      <c r="G310" s="524" t="s">
        <v>542</v>
      </c>
      <c r="H310" s="525"/>
      <c r="I310" s="526"/>
      <c r="J310" s="130" t="s">
        <v>163</v>
      </c>
      <c r="K310" s="87"/>
      <c r="L310" s="87" t="s">
        <v>28</v>
      </c>
      <c r="M310" s="95">
        <v>762</v>
      </c>
    </row>
    <row r="311" spans="1:13" s="152" customFormat="1" ht="23.25" thickBot="1">
      <c r="A311" s="521"/>
      <c r="B311" s="153" t="s">
        <v>29</v>
      </c>
      <c r="C311" s="153" t="s">
        <v>30</v>
      </c>
      <c r="D311" s="153" t="s">
        <v>31</v>
      </c>
      <c r="E311" s="527" t="s">
        <v>32</v>
      </c>
      <c r="F311" s="527"/>
      <c r="G311" s="529"/>
      <c r="H311" s="530"/>
      <c r="I311" s="531"/>
      <c r="J311" s="131" t="s">
        <v>108</v>
      </c>
      <c r="K311" s="90"/>
      <c r="L311" s="90" t="s">
        <v>28</v>
      </c>
      <c r="M311" s="121">
        <v>225</v>
      </c>
    </row>
    <row r="312" spans="1:13" s="152" customFormat="1" ht="23.25" thickBot="1">
      <c r="A312" s="522"/>
      <c r="B312" s="133" t="s">
        <v>201</v>
      </c>
      <c r="C312" s="133" t="s">
        <v>543</v>
      </c>
      <c r="D312" s="144">
        <v>43238</v>
      </c>
      <c r="E312" s="135" t="s">
        <v>36</v>
      </c>
      <c r="F312" s="25" t="s">
        <v>544</v>
      </c>
      <c r="G312" s="539"/>
      <c r="H312" s="540"/>
      <c r="I312" s="541"/>
      <c r="J312" s="131" t="s">
        <v>41</v>
      </c>
      <c r="K312" s="90"/>
      <c r="L312" s="90"/>
      <c r="M312" s="121"/>
    </row>
    <row r="313" spans="1:13" s="152" customFormat="1" ht="24" customHeight="1" thickTop="1" thickBot="1">
      <c r="A313" s="518">
        <f>A309+1</f>
        <v>69</v>
      </c>
      <c r="B313" s="150" t="s">
        <v>19</v>
      </c>
      <c r="C313" s="150" t="s">
        <v>20</v>
      </c>
      <c r="D313" s="150" t="s">
        <v>21</v>
      </c>
      <c r="E313" s="523" t="s">
        <v>22</v>
      </c>
      <c r="F313" s="523"/>
      <c r="G313" s="523" t="s">
        <v>12</v>
      </c>
      <c r="H313" s="528"/>
      <c r="I313" s="164"/>
      <c r="J313" s="126" t="s">
        <v>39</v>
      </c>
      <c r="K313" s="99"/>
      <c r="L313" s="99"/>
      <c r="M313" s="109"/>
    </row>
    <row r="314" spans="1:13" s="152" customFormat="1" ht="34.5" thickBot="1">
      <c r="A314" s="521"/>
      <c r="B314" s="128" t="s">
        <v>545</v>
      </c>
      <c r="C314" s="128" t="s">
        <v>546</v>
      </c>
      <c r="D314" s="129">
        <v>43259</v>
      </c>
      <c r="E314" s="128"/>
      <c r="F314" s="128" t="s">
        <v>547</v>
      </c>
      <c r="G314" s="524" t="s">
        <v>548</v>
      </c>
      <c r="H314" s="525"/>
      <c r="I314" s="526"/>
      <c r="J314" s="130" t="s">
        <v>163</v>
      </c>
      <c r="K314" s="87"/>
      <c r="L314" s="87" t="s">
        <v>28</v>
      </c>
      <c r="M314" s="95">
        <v>1200</v>
      </c>
    </row>
    <row r="315" spans="1:13" s="152" customFormat="1" ht="23.25" thickBot="1">
      <c r="A315" s="521"/>
      <c r="B315" s="153" t="s">
        <v>29</v>
      </c>
      <c r="C315" s="153" t="s">
        <v>30</v>
      </c>
      <c r="D315" s="153" t="s">
        <v>31</v>
      </c>
      <c r="E315" s="527" t="s">
        <v>32</v>
      </c>
      <c r="F315" s="527"/>
      <c r="G315" s="529"/>
      <c r="H315" s="530"/>
      <c r="I315" s="531"/>
      <c r="J315" s="131" t="s">
        <v>108</v>
      </c>
      <c r="K315" s="90"/>
      <c r="L315" s="90" t="s">
        <v>28</v>
      </c>
      <c r="M315" s="121">
        <v>1360</v>
      </c>
    </row>
    <row r="316" spans="1:13" s="152" customFormat="1" ht="15.75" thickBot="1">
      <c r="A316" s="521"/>
      <c r="B316" s="153"/>
      <c r="C316" s="153"/>
      <c r="D316" s="153"/>
      <c r="E316" s="153"/>
      <c r="F316" s="153"/>
      <c r="G316" s="154"/>
      <c r="H316" s="155"/>
      <c r="I316" s="156"/>
      <c r="J316" s="131" t="s">
        <v>38</v>
      </c>
      <c r="K316" s="90"/>
      <c r="L316" s="90" t="s">
        <v>28</v>
      </c>
      <c r="M316" s="121">
        <v>1152</v>
      </c>
    </row>
    <row r="317" spans="1:13" s="152" customFormat="1" ht="23.25" thickBot="1">
      <c r="A317" s="522"/>
      <c r="B317" s="133" t="s">
        <v>201</v>
      </c>
      <c r="C317" s="133" t="s">
        <v>548</v>
      </c>
      <c r="D317" s="144">
        <v>43273</v>
      </c>
      <c r="E317" s="135" t="s">
        <v>36</v>
      </c>
      <c r="F317" s="25" t="s">
        <v>1512</v>
      </c>
      <c r="G317" s="539"/>
      <c r="H317" s="540"/>
      <c r="I317" s="541"/>
      <c r="J317" s="131" t="s">
        <v>549</v>
      </c>
      <c r="K317" s="90"/>
      <c r="L317" s="90" t="s">
        <v>28</v>
      </c>
      <c r="M317" s="121"/>
    </row>
    <row r="318" spans="1:13" s="152" customFormat="1" ht="24" customHeight="1" thickTop="1" thickBot="1">
      <c r="A318" s="518">
        <f>A317+70</f>
        <v>70</v>
      </c>
      <c r="B318" s="150" t="s">
        <v>19</v>
      </c>
      <c r="C318" s="150" t="s">
        <v>20</v>
      </c>
      <c r="D318" s="150" t="s">
        <v>21</v>
      </c>
      <c r="E318" s="523" t="s">
        <v>22</v>
      </c>
      <c r="F318" s="523"/>
      <c r="G318" s="523" t="s">
        <v>12</v>
      </c>
      <c r="H318" s="528"/>
      <c r="I318" s="164"/>
      <c r="J318" s="126" t="s">
        <v>39</v>
      </c>
      <c r="K318" s="99"/>
      <c r="L318" s="99"/>
      <c r="M318" s="109"/>
    </row>
    <row r="319" spans="1:13" s="152" customFormat="1" ht="34.5" thickBot="1">
      <c r="A319" s="521"/>
      <c r="B319" s="128" t="s">
        <v>550</v>
      </c>
      <c r="C319" s="128" t="s">
        <v>551</v>
      </c>
      <c r="D319" s="129">
        <v>43262</v>
      </c>
      <c r="E319" s="128"/>
      <c r="F319" s="128" t="s">
        <v>552</v>
      </c>
      <c r="G319" s="524" t="s">
        <v>553</v>
      </c>
      <c r="H319" s="525"/>
      <c r="I319" s="526"/>
      <c r="J319" s="130" t="s">
        <v>163</v>
      </c>
      <c r="K319" s="87"/>
      <c r="L319" s="87" t="s">
        <v>28</v>
      </c>
      <c r="M319" s="95">
        <v>444</v>
      </c>
    </row>
    <row r="320" spans="1:13" s="152" customFormat="1" ht="23.25" thickBot="1">
      <c r="A320" s="521"/>
      <c r="B320" s="153" t="s">
        <v>29</v>
      </c>
      <c r="C320" s="153" t="s">
        <v>30</v>
      </c>
      <c r="D320" s="153" t="s">
        <v>31</v>
      </c>
      <c r="E320" s="527" t="s">
        <v>32</v>
      </c>
      <c r="F320" s="527"/>
      <c r="G320" s="529"/>
      <c r="H320" s="530"/>
      <c r="I320" s="531"/>
      <c r="J320" s="131" t="s">
        <v>108</v>
      </c>
      <c r="K320" s="90"/>
      <c r="L320" s="90" t="s">
        <v>28</v>
      </c>
      <c r="M320" s="121">
        <v>494</v>
      </c>
    </row>
    <row r="321" spans="1:13" s="152" customFormat="1" ht="15.75" thickBot="1">
      <c r="A321" s="521"/>
      <c r="B321" s="153"/>
      <c r="C321" s="153"/>
      <c r="D321" s="153"/>
      <c r="E321" s="153"/>
      <c r="F321" s="153"/>
      <c r="G321" s="154"/>
      <c r="H321" s="155"/>
      <c r="I321" s="156"/>
      <c r="J321" s="131" t="s">
        <v>135</v>
      </c>
      <c r="K321" s="90"/>
      <c r="L321" s="90" t="s">
        <v>28</v>
      </c>
      <c r="M321" s="121">
        <v>50</v>
      </c>
    </row>
    <row r="322" spans="1:13" s="152" customFormat="1" ht="23.25" thickBot="1">
      <c r="A322" s="522"/>
      <c r="B322" s="134" t="s">
        <v>554</v>
      </c>
      <c r="C322" s="134" t="s">
        <v>555</v>
      </c>
      <c r="D322" s="144">
        <v>43264</v>
      </c>
      <c r="E322" s="135" t="s">
        <v>36</v>
      </c>
      <c r="F322" s="140" t="s">
        <v>556</v>
      </c>
      <c r="G322" s="539"/>
      <c r="H322" s="540"/>
      <c r="I322" s="541"/>
      <c r="J322" s="141" t="s">
        <v>557</v>
      </c>
      <c r="K322" s="110"/>
      <c r="L322" s="110" t="s">
        <v>28</v>
      </c>
      <c r="M322" s="122">
        <v>375</v>
      </c>
    </row>
    <row r="323" spans="1:13" s="152" customFormat="1" ht="24" customHeight="1" thickTop="1" thickBot="1">
      <c r="A323" s="518">
        <f t="shared" ref="A323" si="4">A318+1</f>
        <v>71</v>
      </c>
      <c r="B323" s="150" t="s">
        <v>19</v>
      </c>
      <c r="C323" s="150" t="s">
        <v>20</v>
      </c>
      <c r="D323" s="150" t="s">
        <v>21</v>
      </c>
      <c r="E323" s="523" t="s">
        <v>22</v>
      </c>
      <c r="F323" s="523"/>
      <c r="G323" s="523" t="s">
        <v>12</v>
      </c>
      <c r="H323" s="528"/>
      <c r="I323" s="164"/>
      <c r="J323" s="126" t="s">
        <v>39</v>
      </c>
      <c r="K323" s="99"/>
      <c r="L323" s="99"/>
      <c r="M323" s="109"/>
    </row>
    <row r="324" spans="1:13" s="152" customFormat="1" ht="23.25" thickBot="1">
      <c r="A324" s="521"/>
      <c r="B324" s="128" t="s">
        <v>208</v>
      </c>
      <c r="C324" s="128" t="s">
        <v>209</v>
      </c>
      <c r="D324" s="129">
        <v>43307</v>
      </c>
      <c r="E324" s="128"/>
      <c r="F324" s="128" t="s">
        <v>558</v>
      </c>
      <c r="G324" s="524" t="s">
        <v>210</v>
      </c>
      <c r="H324" s="525"/>
      <c r="I324" s="526"/>
      <c r="J324" s="130" t="s">
        <v>163</v>
      </c>
      <c r="K324" s="87" t="s">
        <v>559</v>
      </c>
      <c r="L324" s="87" t="s">
        <v>28</v>
      </c>
      <c r="M324" s="95">
        <v>495</v>
      </c>
    </row>
    <row r="325" spans="1:13" s="152" customFormat="1" ht="23.25" thickBot="1">
      <c r="A325" s="521"/>
      <c r="B325" s="153" t="s">
        <v>29</v>
      </c>
      <c r="C325" s="153" t="s">
        <v>30</v>
      </c>
      <c r="D325" s="153" t="s">
        <v>31</v>
      </c>
      <c r="E325" s="527" t="s">
        <v>32</v>
      </c>
      <c r="F325" s="527"/>
      <c r="G325" s="529"/>
      <c r="H325" s="530"/>
      <c r="I325" s="531"/>
      <c r="J325" s="131" t="s">
        <v>108</v>
      </c>
      <c r="K325" s="90"/>
      <c r="L325" s="90" t="s">
        <v>28</v>
      </c>
      <c r="M325" s="121">
        <v>1104</v>
      </c>
    </row>
    <row r="326" spans="1:13" s="152" customFormat="1" ht="23.25" thickBot="1">
      <c r="A326" s="522"/>
      <c r="B326" s="133" t="s">
        <v>201</v>
      </c>
      <c r="C326" s="133" t="s">
        <v>210</v>
      </c>
      <c r="D326" s="144">
        <v>43310</v>
      </c>
      <c r="E326" s="135" t="s">
        <v>36</v>
      </c>
      <c r="F326" s="25" t="s">
        <v>560</v>
      </c>
      <c r="G326" s="539"/>
      <c r="H326" s="540"/>
      <c r="I326" s="541"/>
      <c r="J326" s="131" t="s">
        <v>38</v>
      </c>
      <c r="K326" s="90"/>
      <c r="L326" s="90" t="s">
        <v>28</v>
      </c>
      <c r="M326" s="121">
        <v>370</v>
      </c>
    </row>
    <row r="327" spans="1:13" s="152" customFormat="1" ht="24" customHeight="1" thickTop="1" thickBot="1">
      <c r="A327" s="518">
        <f t="shared" ref="A327" si="5">A323+1</f>
        <v>72</v>
      </c>
      <c r="B327" s="150" t="s">
        <v>19</v>
      </c>
      <c r="C327" s="150" t="s">
        <v>20</v>
      </c>
      <c r="D327" s="150" t="s">
        <v>21</v>
      </c>
      <c r="E327" s="523" t="s">
        <v>22</v>
      </c>
      <c r="F327" s="523"/>
      <c r="G327" s="523" t="s">
        <v>12</v>
      </c>
      <c r="H327" s="528"/>
      <c r="I327" s="164"/>
      <c r="J327" s="126" t="s">
        <v>39</v>
      </c>
      <c r="K327" s="99"/>
      <c r="L327" s="99"/>
      <c r="M327" s="109"/>
    </row>
    <row r="328" spans="1:13" s="152" customFormat="1" ht="23.25" thickBot="1">
      <c r="A328" s="521"/>
      <c r="B328" s="128" t="s">
        <v>561</v>
      </c>
      <c r="C328" s="128" t="s">
        <v>562</v>
      </c>
      <c r="D328" s="129">
        <v>43365</v>
      </c>
      <c r="E328" s="128"/>
      <c r="F328" s="128" t="s">
        <v>563</v>
      </c>
      <c r="G328" s="524" t="s">
        <v>200</v>
      </c>
      <c r="H328" s="525"/>
      <c r="I328" s="526"/>
      <c r="J328" s="130" t="s">
        <v>163</v>
      </c>
      <c r="K328" s="87"/>
      <c r="L328" s="87" t="s">
        <v>28</v>
      </c>
      <c r="M328" s="95">
        <v>1500</v>
      </c>
    </row>
    <row r="329" spans="1:13" s="152" customFormat="1" ht="23.25" thickBot="1">
      <c r="A329" s="521"/>
      <c r="B329" s="153" t="s">
        <v>29</v>
      </c>
      <c r="C329" s="153" t="s">
        <v>30</v>
      </c>
      <c r="D329" s="153" t="s">
        <v>31</v>
      </c>
      <c r="E329" s="527" t="s">
        <v>32</v>
      </c>
      <c r="F329" s="527"/>
      <c r="G329" s="529"/>
      <c r="H329" s="530"/>
      <c r="I329" s="531"/>
      <c r="J329" s="131" t="s">
        <v>108</v>
      </c>
      <c r="K329" s="90"/>
      <c r="L329" s="90" t="s">
        <v>28</v>
      </c>
      <c r="M329" s="121">
        <v>1200</v>
      </c>
    </row>
    <row r="330" spans="1:13" s="152" customFormat="1" ht="34.5" thickBot="1">
      <c r="A330" s="522"/>
      <c r="B330" s="206" t="s">
        <v>205</v>
      </c>
      <c r="C330" s="206" t="s">
        <v>564</v>
      </c>
      <c r="D330" s="207">
        <v>43368</v>
      </c>
      <c r="E330" s="208" t="s">
        <v>36</v>
      </c>
      <c r="F330" s="209" t="s">
        <v>565</v>
      </c>
      <c r="G330" s="595"/>
      <c r="H330" s="596"/>
      <c r="I330" s="597"/>
      <c r="J330" s="210" t="s">
        <v>41</v>
      </c>
      <c r="K330" s="211"/>
      <c r="L330" s="211"/>
      <c r="M330" s="212"/>
    </row>
    <row r="331" spans="1:13" s="152" customFormat="1" ht="24" customHeight="1" thickTop="1" thickBot="1">
      <c r="A331" s="518">
        <f>A327+1</f>
        <v>73</v>
      </c>
      <c r="B331" s="150" t="s">
        <v>19</v>
      </c>
      <c r="C331" s="150" t="s">
        <v>20</v>
      </c>
      <c r="D331" s="151" t="s">
        <v>21</v>
      </c>
      <c r="E331" s="563" t="s">
        <v>22</v>
      </c>
      <c r="F331" s="564"/>
      <c r="G331" s="594" t="s">
        <v>12</v>
      </c>
      <c r="H331" s="566"/>
      <c r="I331" s="567"/>
      <c r="J331" s="126" t="s">
        <v>39</v>
      </c>
      <c r="K331" s="99"/>
      <c r="L331" s="99"/>
      <c r="M331" s="137"/>
    </row>
    <row r="332" spans="1:13" s="152" customFormat="1" ht="34.5" thickBot="1">
      <c r="A332" s="521"/>
      <c r="B332" s="128" t="s">
        <v>566</v>
      </c>
      <c r="C332" s="128" t="s">
        <v>567</v>
      </c>
      <c r="D332" s="213">
        <v>43257</v>
      </c>
      <c r="E332" s="214"/>
      <c r="F332" s="215" t="s">
        <v>194</v>
      </c>
      <c r="G332" s="570" t="s">
        <v>215</v>
      </c>
      <c r="H332" s="585"/>
      <c r="I332" s="586"/>
      <c r="J332" s="130" t="s">
        <v>568</v>
      </c>
      <c r="K332" s="87"/>
      <c r="L332" s="87" t="s">
        <v>28</v>
      </c>
      <c r="M332" s="23">
        <v>6000</v>
      </c>
    </row>
    <row r="333" spans="1:13" s="152" customFormat="1" ht="23.25" thickBot="1">
      <c r="A333" s="521"/>
      <c r="B333" s="153" t="s">
        <v>29</v>
      </c>
      <c r="C333" s="153" t="s">
        <v>30</v>
      </c>
      <c r="D333" s="165" t="s">
        <v>31</v>
      </c>
      <c r="E333" s="588" t="s">
        <v>32</v>
      </c>
      <c r="F333" s="589"/>
      <c r="G333" s="587"/>
      <c r="H333" s="530"/>
      <c r="I333" s="531"/>
      <c r="J333" s="131"/>
      <c r="K333" s="90"/>
      <c r="L333" s="90"/>
      <c r="M333" s="216"/>
    </row>
    <row r="334" spans="1:13" s="152" customFormat="1" ht="34.5" thickBot="1">
      <c r="A334" s="522"/>
      <c r="B334" s="133" t="s">
        <v>569</v>
      </c>
      <c r="C334" s="133" t="s">
        <v>140</v>
      </c>
      <c r="D334" s="217">
        <v>43259</v>
      </c>
      <c r="E334" s="218" t="s">
        <v>36</v>
      </c>
      <c r="F334" s="219" t="s">
        <v>570</v>
      </c>
      <c r="G334" s="590"/>
      <c r="H334" s="583"/>
      <c r="I334" s="584"/>
      <c r="J334" s="131" t="s">
        <v>41</v>
      </c>
      <c r="K334" s="90"/>
      <c r="L334" s="90"/>
      <c r="M334" s="138"/>
    </row>
    <row r="335" spans="1:13" s="152" customFormat="1" ht="24" customHeight="1" thickTop="1" thickBot="1">
      <c r="A335" s="518">
        <f>A331+1</f>
        <v>74</v>
      </c>
      <c r="B335" s="150" t="s">
        <v>19</v>
      </c>
      <c r="C335" s="150" t="s">
        <v>20</v>
      </c>
      <c r="D335" s="151" t="s">
        <v>21</v>
      </c>
      <c r="E335" s="591" t="s">
        <v>22</v>
      </c>
      <c r="F335" s="592"/>
      <c r="G335" s="591" t="s">
        <v>12</v>
      </c>
      <c r="H335" s="593"/>
      <c r="I335" s="164"/>
      <c r="J335" s="126" t="s">
        <v>39</v>
      </c>
      <c r="K335" s="99"/>
      <c r="L335" s="99"/>
      <c r="M335" s="137"/>
    </row>
    <row r="336" spans="1:13" s="152" customFormat="1" ht="23.25" thickBot="1">
      <c r="A336" s="521"/>
      <c r="B336" s="128" t="s">
        <v>571</v>
      </c>
      <c r="C336" s="128" t="s">
        <v>572</v>
      </c>
      <c r="D336" s="213">
        <v>43316</v>
      </c>
      <c r="E336" s="214"/>
      <c r="F336" s="215" t="s">
        <v>145</v>
      </c>
      <c r="G336" s="570" t="s">
        <v>302</v>
      </c>
      <c r="H336" s="585"/>
      <c r="I336" s="586"/>
      <c r="J336" s="130" t="s">
        <v>33</v>
      </c>
      <c r="K336" s="87"/>
      <c r="L336" s="87" t="s">
        <v>28</v>
      </c>
      <c r="M336" s="220">
        <v>1700</v>
      </c>
    </row>
    <row r="337" spans="1:13" s="152" customFormat="1" ht="23.25" thickBot="1">
      <c r="A337" s="521"/>
      <c r="B337" s="153" t="s">
        <v>29</v>
      </c>
      <c r="C337" s="153" t="s">
        <v>30</v>
      </c>
      <c r="D337" s="165" t="s">
        <v>31</v>
      </c>
      <c r="E337" s="588" t="s">
        <v>32</v>
      </c>
      <c r="F337" s="589"/>
      <c r="G337" s="587"/>
      <c r="H337" s="530"/>
      <c r="I337" s="531"/>
      <c r="J337" s="131" t="s">
        <v>27</v>
      </c>
      <c r="K337" s="90"/>
      <c r="L337" s="90" t="s">
        <v>28</v>
      </c>
      <c r="M337" s="221">
        <v>1300</v>
      </c>
    </row>
    <row r="338" spans="1:13" s="152" customFormat="1" ht="23.25" thickBot="1">
      <c r="A338" s="522"/>
      <c r="B338" s="134" t="s">
        <v>573</v>
      </c>
      <c r="C338" s="134" t="s">
        <v>300</v>
      </c>
      <c r="D338" s="217">
        <v>43322</v>
      </c>
      <c r="E338" s="218" t="s">
        <v>36</v>
      </c>
      <c r="F338" s="222" t="s">
        <v>574</v>
      </c>
      <c r="G338" s="562"/>
      <c r="H338" s="540"/>
      <c r="I338" s="541"/>
      <c r="J338" s="141" t="s">
        <v>38</v>
      </c>
      <c r="K338" s="110"/>
      <c r="L338" s="110" t="s">
        <v>28</v>
      </c>
      <c r="M338" s="143">
        <v>100</v>
      </c>
    </row>
    <row r="339" spans="1:13" s="152" customFormat="1" ht="24" customHeight="1" thickTop="1" thickBot="1">
      <c r="A339" s="518">
        <f>A335+1</f>
        <v>75</v>
      </c>
      <c r="B339" s="150" t="s">
        <v>19</v>
      </c>
      <c r="C339" s="150" t="s">
        <v>20</v>
      </c>
      <c r="D339" s="151" t="s">
        <v>21</v>
      </c>
      <c r="E339" s="563" t="s">
        <v>22</v>
      </c>
      <c r="F339" s="564"/>
      <c r="G339" s="563" t="s">
        <v>12</v>
      </c>
      <c r="H339" s="528"/>
      <c r="I339" s="164"/>
      <c r="J339" s="126" t="s">
        <v>39</v>
      </c>
      <c r="K339" s="99"/>
      <c r="L339" s="99"/>
      <c r="M339" s="22"/>
    </row>
    <row r="340" spans="1:13" s="152" customFormat="1" ht="23.25" thickBot="1">
      <c r="A340" s="521"/>
      <c r="B340" s="128" t="s">
        <v>575</v>
      </c>
      <c r="C340" s="128" t="s">
        <v>572</v>
      </c>
      <c r="D340" s="213">
        <v>43316</v>
      </c>
      <c r="E340" s="214"/>
      <c r="F340" s="215" t="s">
        <v>145</v>
      </c>
      <c r="G340" s="570" t="s">
        <v>302</v>
      </c>
      <c r="H340" s="537"/>
      <c r="I340" s="526"/>
      <c r="J340" s="130" t="s">
        <v>33</v>
      </c>
      <c r="K340" s="87"/>
      <c r="L340" s="87" t="s">
        <v>28</v>
      </c>
      <c r="M340" s="123">
        <v>1700</v>
      </c>
    </row>
    <row r="341" spans="1:13" s="152" customFormat="1" ht="23.25" thickBot="1">
      <c r="A341" s="521"/>
      <c r="B341" s="153" t="s">
        <v>29</v>
      </c>
      <c r="C341" s="153" t="s">
        <v>30</v>
      </c>
      <c r="D341" s="165" t="s">
        <v>31</v>
      </c>
      <c r="E341" s="577" t="s">
        <v>32</v>
      </c>
      <c r="F341" s="578"/>
      <c r="G341" s="587"/>
      <c r="H341" s="530"/>
      <c r="I341" s="531"/>
      <c r="J341" s="131" t="s">
        <v>27</v>
      </c>
      <c r="K341" s="90"/>
      <c r="L341" s="90" t="s">
        <v>28</v>
      </c>
      <c r="M341" s="223">
        <v>1300</v>
      </c>
    </row>
    <row r="342" spans="1:13" s="152" customFormat="1" ht="23.25" thickBot="1">
      <c r="A342" s="522"/>
      <c r="B342" s="133" t="s">
        <v>576</v>
      </c>
      <c r="C342" s="133" t="s">
        <v>300</v>
      </c>
      <c r="D342" s="217">
        <v>43322</v>
      </c>
      <c r="E342" s="218" t="s">
        <v>36</v>
      </c>
      <c r="F342" s="224" t="s">
        <v>574</v>
      </c>
      <c r="G342" s="562"/>
      <c r="H342" s="540"/>
      <c r="I342" s="541"/>
      <c r="J342" s="131" t="s">
        <v>38</v>
      </c>
      <c r="K342" s="90"/>
      <c r="L342" s="90" t="s">
        <v>28</v>
      </c>
      <c r="M342" s="24">
        <v>100</v>
      </c>
    </row>
    <row r="343" spans="1:13" s="152" customFormat="1" ht="24" customHeight="1" thickTop="1" thickBot="1">
      <c r="A343" s="518">
        <f>A342+76</f>
        <v>76</v>
      </c>
      <c r="B343" s="150" t="s">
        <v>19</v>
      </c>
      <c r="C343" s="150" t="s">
        <v>20</v>
      </c>
      <c r="D343" s="151" t="s">
        <v>21</v>
      </c>
      <c r="E343" s="563" t="s">
        <v>22</v>
      </c>
      <c r="F343" s="564"/>
      <c r="G343" s="563" t="s">
        <v>12</v>
      </c>
      <c r="H343" s="528"/>
      <c r="I343" s="164"/>
      <c r="J343" s="126" t="s">
        <v>39</v>
      </c>
      <c r="K343" s="99"/>
      <c r="L343" s="99"/>
      <c r="M343" s="22"/>
    </row>
    <row r="344" spans="1:13" s="152" customFormat="1" ht="23.25" thickBot="1">
      <c r="A344" s="521"/>
      <c r="B344" s="128" t="s">
        <v>577</v>
      </c>
      <c r="C344" s="128" t="s">
        <v>578</v>
      </c>
      <c r="D344" s="213">
        <v>43329</v>
      </c>
      <c r="E344" s="214"/>
      <c r="F344" s="215" t="s">
        <v>226</v>
      </c>
      <c r="G344" s="570" t="s">
        <v>579</v>
      </c>
      <c r="H344" s="571"/>
      <c r="I344" s="572"/>
      <c r="J344" s="130" t="s">
        <v>33</v>
      </c>
      <c r="K344" s="87"/>
      <c r="L344" s="87" t="s">
        <v>28</v>
      </c>
      <c r="M344" s="23">
        <v>440.4</v>
      </c>
    </row>
    <row r="345" spans="1:13" s="152" customFormat="1" ht="23.25" thickBot="1">
      <c r="A345" s="521"/>
      <c r="B345" s="153" t="s">
        <v>29</v>
      </c>
      <c r="C345" s="153" t="s">
        <v>30</v>
      </c>
      <c r="D345" s="165" t="s">
        <v>31</v>
      </c>
      <c r="E345" s="577" t="s">
        <v>32</v>
      </c>
      <c r="F345" s="578"/>
      <c r="G345" s="573"/>
      <c r="H345" s="571"/>
      <c r="I345" s="572"/>
      <c r="J345" s="131" t="s">
        <v>27</v>
      </c>
      <c r="K345" s="90"/>
      <c r="L345" s="90" t="s">
        <v>28</v>
      </c>
      <c r="M345" s="24">
        <v>268</v>
      </c>
    </row>
    <row r="346" spans="1:13" s="152" customFormat="1" ht="15.75" thickBot="1">
      <c r="A346" s="522"/>
      <c r="B346" s="206" t="s">
        <v>580</v>
      </c>
      <c r="C346" s="206" t="s">
        <v>581</v>
      </c>
      <c r="D346" s="225">
        <v>43331</v>
      </c>
      <c r="E346" s="226" t="s">
        <v>36</v>
      </c>
      <c r="F346" s="227" t="s">
        <v>582</v>
      </c>
      <c r="G346" s="574"/>
      <c r="H346" s="575"/>
      <c r="I346" s="576"/>
      <c r="J346" s="210" t="s">
        <v>583</v>
      </c>
      <c r="K346" s="211"/>
      <c r="L346" s="211" t="s">
        <v>28</v>
      </c>
      <c r="M346" s="228">
        <v>99.95</v>
      </c>
    </row>
    <row r="347" spans="1:13" s="152" customFormat="1" ht="24" customHeight="1" thickTop="1" thickBot="1">
      <c r="A347" s="518">
        <f t="shared" ref="A347" si="6">A343+1</f>
        <v>77</v>
      </c>
      <c r="B347" s="150" t="s">
        <v>19</v>
      </c>
      <c r="C347" s="150" t="s">
        <v>20</v>
      </c>
      <c r="D347" s="150" t="s">
        <v>21</v>
      </c>
      <c r="E347" s="528" t="s">
        <v>22</v>
      </c>
      <c r="F347" s="579"/>
      <c r="G347" s="565" t="s">
        <v>12</v>
      </c>
      <c r="H347" s="566"/>
      <c r="I347" s="567"/>
      <c r="J347" s="126" t="s">
        <v>39</v>
      </c>
      <c r="K347" s="127"/>
      <c r="L347" s="127"/>
      <c r="M347" s="137"/>
    </row>
    <row r="348" spans="1:13" s="152" customFormat="1" ht="35.25" customHeight="1" thickBot="1">
      <c r="A348" s="521"/>
      <c r="B348" s="128" t="s">
        <v>584</v>
      </c>
      <c r="C348" s="229" t="s">
        <v>585</v>
      </c>
      <c r="D348" s="129">
        <v>43206</v>
      </c>
      <c r="E348" s="128"/>
      <c r="F348" s="128" t="s">
        <v>586</v>
      </c>
      <c r="G348" s="544" t="s">
        <v>224</v>
      </c>
      <c r="H348" s="568"/>
      <c r="I348" s="569"/>
      <c r="J348" s="130" t="s">
        <v>27</v>
      </c>
      <c r="K348" s="130"/>
      <c r="L348" s="87" t="s">
        <v>28</v>
      </c>
      <c r="M348" s="88">
        <v>500</v>
      </c>
    </row>
    <row r="349" spans="1:13" s="152" customFormat="1" ht="23.25" thickBot="1">
      <c r="A349" s="521"/>
      <c r="B349" s="153" t="s">
        <v>29</v>
      </c>
      <c r="C349" s="153" t="s">
        <v>30</v>
      </c>
      <c r="D349" s="153" t="s">
        <v>31</v>
      </c>
      <c r="E349" s="580" t="s">
        <v>32</v>
      </c>
      <c r="F349" s="581"/>
      <c r="G349" s="529"/>
      <c r="H349" s="530"/>
      <c r="I349" s="531"/>
      <c r="J349" s="131" t="s">
        <v>33</v>
      </c>
      <c r="K349" s="132"/>
      <c r="L349" s="90" t="s">
        <v>28</v>
      </c>
      <c r="M349" s="91">
        <v>450</v>
      </c>
    </row>
    <row r="350" spans="1:13" s="152" customFormat="1" ht="15.75" thickBot="1">
      <c r="A350" s="521"/>
      <c r="B350" s="683" t="s">
        <v>587</v>
      </c>
      <c r="C350" s="683" t="s">
        <v>588</v>
      </c>
      <c r="D350" s="685">
        <v>43206</v>
      </c>
      <c r="E350" s="230"/>
      <c r="F350" s="687" t="s">
        <v>589</v>
      </c>
      <c r="G350" s="529"/>
      <c r="H350" s="530"/>
      <c r="I350" s="531"/>
      <c r="J350" s="131" t="s">
        <v>38</v>
      </c>
      <c r="K350" s="132"/>
      <c r="L350" s="231" t="s">
        <v>28</v>
      </c>
      <c r="M350" s="91">
        <v>150</v>
      </c>
    </row>
    <row r="351" spans="1:13" s="152" customFormat="1" ht="23.25" thickBot="1">
      <c r="A351" s="522"/>
      <c r="B351" s="684"/>
      <c r="C351" s="684"/>
      <c r="D351" s="686"/>
      <c r="E351" s="233" t="s">
        <v>36</v>
      </c>
      <c r="F351" s="688"/>
      <c r="G351" s="582"/>
      <c r="H351" s="583"/>
      <c r="I351" s="584"/>
      <c r="J351" s="131" t="s">
        <v>127</v>
      </c>
      <c r="K351" s="132"/>
      <c r="L351" s="231" t="s">
        <v>28</v>
      </c>
      <c r="M351" s="91">
        <v>100</v>
      </c>
    </row>
    <row r="352" spans="1:13" s="152" customFormat="1" ht="24" customHeight="1" thickTop="1" thickBot="1">
      <c r="A352" s="518">
        <f t="shared" ref="A352" si="7">A347+1</f>
        <v>78</v>
      </c>
      <c r="B352" s="150" t="s">
        <v>19</v>
      </c>
      <c r="C352" s="150" t="s">
        <v>20</v>
      </c>
      <c r="D352" s="150" t="s">
        <v>21</v>
      </c>
      <c r="E352" s="528" t="s">
        <v>22</v>
      </c>
      <c r="F352" s="579"/>
      <c r="G352" s="528" t="s">
        <v>12</v>
      </c>
      <c r="H352" s="593"/>
      <c r="I352" s="164"/>
      <c r="J352" s="126" t="s">
        <v>39</v>
      </c>
      <c r="K352" s="127"/>
      <c r="L352" s="127"/>
      <c r="M352" s="137"/>
    </row>
    <row r="353" spans="1:13" s="152" customFormat="1" ht="57" thickBot="1">
      <c r="A353" s="521"/>
      <c r="B353" s="128" t="s">
        <v>590</v>
      </c>
      <c r="C353" s="89" t="s">
        <v>591</v>
      </c>
      <c r="D353" s="129">
        <v>43234</v>
      </c>
      <c r="E353" s="128"/>
      <c r="F353" s="128" t="s">
        <v>592</v>
      </c>
      <c r="G353" s="544" t="s">
        <v>593</v>
      </c>
      <c r="H353" s="568"/>
      <c r="I353" s="569"/>
      <c r="J353" s="130" t="s">
        <v>27</v>
      </c>
      <c r="K353" s="130"/>
      <c r="L353" s="87" t="s">
        <v>28</v>
      </c>
      <c r="M353" s="117">
        <v>294</v>
      </c>
    </row>
    <row r="354" spans="1:13" s="152" customFormat="1" ht="23.25" thickBot="1">
      <c r="A354" s="521"/>
      <c r="B354" s="153" t="s">
        <v>29</v>
      </c>
      <c r="C354" s="153" t="s">
        <v>30</v>
      </c>
      <c r="D354" s="153" t="s">
        <v>31</v>
      </c>
      <c r="E354" s="580" t="s">
        <v>32</v>
      </c>
      <c r="F354" s="581"/>
      <c r="G354" s="529"/>
      <c r="H354" s="530"/>
      <c r="I354" s="531"/>
      <c r="J354" s="131" t="s">
        <v>33</v>
      </c>
      <c r="K354" s="132"/>
      <c r="L354" s="90" t="s">
        <v>28</v>
      </c>
      <c r="M354" s="234">
        <v>600</v>
      </c>
    </row>
    <row r="355" spans="1:13" s="152" customFormat="1" ht="34.5" thickBot="1">
      <c r="A355" s="522"/>
      <c r="B355" s="133" t="s">
        <v>594</v>
      </c>
      <c r="C355" s="185" t="s">
        <v>593</v>
      </c>
      <c r="D355" s="186">
        <v>43234</v>
      </c>
      <c r="E355" s="84" t="s">
        <v>36</v>
      </c>
      <c r="F355" s="235" t="s">
        <v>595</v>
      </c>
      <c r="G355" s="532"/>
      <c r="H355" s="533"/>
      <c r="I355" s="534"/>
      <c r="J355" s="131" t="s">
        <v>127</v>
      </c>
      <c r="K355" s="132"/>
      <c r="L355" s="90" t="s">
        <v>28</v>
      </c>
      <c r="M355" s="236">
        <v>150</v>
      </c>
    </row>
    <row r="356" spans="1:13" s="152" customFormat="1" ht="24" customHeight="1" thickTop="1" thickBot="1">
      <c r="A356" s="518">
        <f>A352+1</f>
        <v>79</v>
      </c>
      <c r="B356" s="237" t="s">
        <v>19</v>
      </c>
      <c r="C356" s="237" t="s">
        <v>20</v>
      </c>
      <c r="D356" s="237" t="s">
        <v>21</v>
      </c>
      <c r="E356" s="535" t="s">
        <v>22</v>
      </c>
      <c r="F356" s="535"/>
      <c r="G356" s="535" t="s">
        <v>12</v>
      </c>
      <c r="H356" s="536"/>
      <c r="I356" s="238"/>
      <c r="J356" s="239" t="s">
        <v>39</v>
      </c>
      <c r="K356" s="240"/>
      <c r="L356" s="240"/>
      <c r="M356" s="241"/>
    </row>
    <row r="357" spans="1:13" s="152" customFormat="1" ht="34.5" thickBot="1">
      <c r="A357" s="521"/>
      <c r="B357" s="92" t="s">
        <v>596</v>
      </c>
      <c r="C357" s="92" t="s">
        <v>597</v>
      </c>
      <c r="D357" s="129">
        <v>43196</v>
      </c>
      <c r="E357" s="92"/>
      <c r="F357" s="92" t="s">
        <v>137</v>
      </c>
      <c r="G357" s="544" t="s">
        <v>224</v>
      </c>
      <c r="H357" s="568"/>
      <c r="I357" s="569"/>
      <c r="J357" s="130" t="s">
        <v>27</v>
      </c>
      <c r="K357" s="130"/>
      <c r="L357" s="87" t="s">
        <v>28</v>
      </c>
      <c r="M357" s="88">
        <v>500</v>
      </c>
    </row>
    <row r="358" spans="1:13" s="152" customFormat="1" ht="23.25" thickBot="1">
      <c r="A358" s="521"/>
      <c r="B358" s="93" t="s">
        <v>29</v>
      </c>
      <c r="C358" s="93" t="s">
        <v>30</v>
      </c>
      <c r="D358" s="93" t="s">
        <v>31</v>
      </c>
      <c r="E358" s="538" t="s">
        <v>32</v>
      </c>
      <c r="F358" s="538"/>
      <c r="G358" s="529"/>
      <c r="H358" s="530"/>
      <c r="I358" s="531"/>
      <c r="J358" s="131" t="s">
        <v>33</v>
      </c>
      <c r="K358" s="132"/>
      <c r="L358" s="90" t="s">
        <v>28</v>
      </c>
      <c r="M358" s="242">
        <v>450</v>
      </c>
    </row>
    <row r="359" spans="1:13" s="152" customFormat="1" ht="15.75" thickBot="1">
      <c r="A359" s="521"/>
      <c r="B359" s="689" t="s">
        <v>598</v>
      </c>
      <c r="C359" s="691" t="s">
        <v>225</v>
      </c>
      <c r="D359" s="693">
        <v>43196</v>
      </c>
      <c r="E359" s="243"/>
      <c r="F359" s="695" t="s">
        <v>599</v>
      </c>
      <c r="G359" s="697"/>
      <c r="H359" s="698"/>
      <c r="I359" s="699"/>
      <c r="J359" s="86" t="s">
        <v>38</v>
      </c>
      <c r="K359" s="86"/>
      <c r="L359" s="94" t="s">
        <v>28</v>
      </c>
      <c r="M359" s="244">
        <v>150</v>
      </c>
    </row>
    <row r="360" spans="1:13" s="152" customFormat="1" ht="23.25" thickBot="1">
      <c r="A360" s="522"/>
      <c r="B360" s="690"/>
      <c r="C360" s="692"/>
      <c r="D360" s="694"/>
      <c r="E360" s="245" t="s">
        <v>36</v>
      </c>
      <c r="F360" s="696"/>
      <c r="G360" s="700"/>
      <c r="H360" s="701"/>
      <c r="I360" s="702"/>
      <c r="J360" s="210" t="s">
        <v>127</v>
      </c>
      <c r="K360" s="246"/>
      <c r="L360" s="211" t="s">
        <v>28</v>
      </c>
      <c r="M360" s="247">
        <v>100</v>
      </c>
    </row>
    <row r="361" spans="1:13" s="152" customFormat="1" ht="24" customHeight="1" thickTop="1" thickBot="1">
      <c r="A361" s="518">
        <f>A356+1</f>
        <v>80</v>
      </c>
      <c r="B361" s="161" t="s">
        <v>19</v>
      </c>
      <c r="C361" s="161" t="s">
        <v>20</v>
      </c>
      <c r="D361" s="161" t="s">
        <v>21</v>
      </c>
      <c r="E361" s="542" t="s">
        <v>22</v>
      </c>
      <c r="F361" s="542"/>
      <c r="G361" s="542" t="s">
        <v>12</v>
      </c>
      <c r="H361" s="543"/>
      <c r="I361" s="248"/>
      <c r="J361" s="249" t="s">
        <v>39</v>
      </c>
      <c r="K361" s="250"/>
      <c r="L361" s="250"/>
      <c r="M361" s="251"/>
    </row>
    <row r="362" spans="1:13" s="152" customFormat="1" ht="45.75" thickBot="1">
      <c r="A362" s="521"/>
      <c r="B362" s="128" t="s">
        <v>600</v>
      </c>
      <c r="C362" s="128" t="s">
        <v>601</v>
      </c>
      <c r="D362" s="129">
        <v>43216</v>
      </c>
      <c r="E362" s="128"/>
      <c r="F362" s="128" t="s">
        <v>165</v>
      </c>
      <c r="G362" s="558" t="s">
        <v>602</v>
      </c>
      <c r="H362" s="559"/>
      <c r="I362" s="560"/>
      <c r="J362" s="130" t="s">
        <v>27</v>
      </c>
      <c r="K362" s="130"/>
      <c r="L362" s="87" t="s">
        <v>28</v>
      </c>
      <c r="M362" s="117">
        <v>735</v>
      </c>
    </row>
    <row r="363" spans="1:13" s="152" customFormat="1" ht="23.25" thickBot="1">
      <c r="A363" s="521"/>
      <c r="B363" s="153" t="s">
        <v>29</v>
      </c>
      <c r="C363" s="153" t="s">
        <v>30</v>
      </c>
      <c r="D363" s="153" t="s">
        <v>31</v>
      </c>
      <c r="E363" s="527" t="s">
        <v>32</v>
      </c>
      <c r="F363" s="527"/>
      <c r="G363" s="529"/>
      <c r="H363" s="530"/>
      <c r="I363" s="531"/>
      <c r="J363" s="131" t="s">
        <v>33</v>
      </c>
      <c r="K363" s="132"/>
      <c r="L363" s="90" t="s">
        <v>28</v>
      </c>
      <c r="M363" s="234">
        <v>600</v>
      </c>
    </row>
    <row r="364" spans="1:13" s="152" customFormat="1" ht="34.5" thickBot="1">
      <c r="A364" s="522"/>
      <c r="B364" s="133" t="s">
        <v>603</v>
      </c>
      <c r="C364" s="133" t="s">
        <v>602</v>
      </c>
      <c r="D364" s="186">
        <v>43221</v>
      </c>
      <c r="E364" s="84" t="s">
        <v>36</v>
      </c>
      <c r="F364" s="85" t="s">
        <v>604</v>
      </c>
      <c r="G364" s="532"/>
      <c r="H364" s="533"/>
      <c r="I364" s="534"/>
      <c r="J364" s="131" t="s">
        <v>38</v>
      </c>
      <c r="K364" s="132"/>
      <c r="L364" s="90" t="s">
        <v>28</v>
      </c>
      <c r="M364" s="102">
        <v>529.38</v>
      </c>
    </row>
    <row r="365" spans="1:13" s="152" customFormat="1" ht="24" customHeight="1" thickTop="1" thickBot="1">
      <c r="A365" s="518">
        <f>A361+1</f>
        <v>81</v>
      </c>
      <c r="B365" s="237" t="s">
        <v>19</v>
      </c>
      <c r="C365" s="237" t="s">
        <v>20</v>
      </c>
      <c r="D365" s="237" t="s">
        <v>21</v>
      </c>
      <c r="E365" s="535" t="s">
        <v>22</v>
      </c>
      <c r="F365" s="535"/>
      <c r="G365" s="535" t="s">
        <v>12</v>
      </c>
      <c r="H365" s="536"/>
      <c r="I365" s="238"/>
      <c r="J365" s="239" t="s">
        <v>39</v>
      </c>
      <c r="K365" s="240"/>
      <c r="L365" s="240"/>
      <c r="M365" s="241"/>
    </row>
    <row r="366" spans="1:13" s="152" customFormat="1" ht="34.5" thickBot="1">
      <c r="A366" s="521"/>
      <c r="B366" s="92" t="s">
        <v>605</v>
      </c>
      <c r="C366" s="92" t="s">
        <v>234</v>
      </c>
      <c r="D366" s="129">
        <v>43206</v>
      </c>
      <c r="E366" s="92"/>
      <c r="F366" s="92" t="s">
        <v>155</v>
      </c>
      <c r="G366" s="544" t="s">
        <v>606</v>
      </c>
      <c r="H366" s="561"/>
      <c r="I366" s="546"/>
      <c r="J366" s="130" t="s">
        <v>27</v>
      </c>
      <c r="K366" s="130"/>
      <c r="L366" s="87" t="s">
        <v>28</v>
      </c>
      <c r="M366" s="252">
        <v>900</v>
      </c>
    </row>
    <row r="367" spans="1:13" s="152" customFormat="1" ht="23.25" thickBot="1">
      <c r="A367" s="521"/>
      <c r="B367" s="93" t="s">
        <v>29</v>
      </c>
      <c r="C367" s="93" t="s">
        <v>30</v>
      </c>
      <c r="D367" s="93" t="s">
        <v>31</v>
      </c>
      <c r="E367" s="538" t="s">
        <v>32</v>
      </c>
      <c r="F367" s="538"/>
      <c r="G367" s="529"/>
      <c r="H367" s="530"/>
      <c r="I367" s="531"/>
      <c r="J367" s="86" t="s">
        <v>33</v>
      </c>
      <c r="K367" s="86"/>
      <c r="L367" s="94" t="s">
        <v>28</v>
      </c>
      <c r="M367" s="244">
        <v>500</v>
      </c>
    </row>
    <row r="368" spans="1:13" s="152" customFormat="1" ht="23.25" thickBot="1">
      <c r="A368" s="521"/>
      <c r="B368" s="93"/>
      <c r="C368" s="93"/>
      <c r="D368" s="93"/>
      <c r="E368" s="93"/>
      <c r="F368" s="166"/>
      <c r="G368" s="154"/>
      <c r="H368" s="155"/>
      <c r="I368" s="156"/>
      <c r="J368" s="86" t="s">
        <v>127</v>
      </c>
      <c r="K368" s="132"/>
      <c r="L368" s="90" t="s">
        <v>42</v>
      </c>
      <c r="M368" s="253">
        <v>150</v>
      </c>
    </row>
    <row r="369" spans="1:15" s="152" customFormat="1" ht="23.25" customHeight="1" thickBot="1">
      <c r="A369" s="522"/>
      <c r="B369" s="254" t="s">
        <v>607</v>
      </c>
      <c r="C369" s="255" t="s">
        <v>160</v>
      </c>
      <c r="D369" s="256">
        <v>43207</v>
      </c>
      <c r="E369" s="257"/>
      <c r="F369" s="258" t="s">
        <v>608</v>
      </c>
      <c r="G369" s="259"/>
      <c r="H369" s="260"/>
      <c r="I369" s="261"/>
      <c r="J369" s="262" t="s">
        <v>38</v>
      </c>
      <c r="K369" s="263"/>
      <c r="L369" s="263" t="s">
        <v>42</v>
      </c>
      <c r="M369" s="264">
        <v>241.5</v>
      </c>
      <c r="N369" s="265"/>
      <c r="O369" s="265"/>
    </row>
    <row r="370" spans="1:15" s="152" customFormat="1" ht="24" customHeight="1" thickTop="1" thickBot="1">
      <c r="A370" s="518">
        <f>A369+82</f>
        <v>82</v>
      </c>
      <c r="B370" s="161" t="s">
        <v>19</v>
      </c>
      <c r="C370" s="161" t="s">
        <v>20</v>
      </c>
      <c r="D370" s="161" t="s">
        <v>21</v>
      </c>
      <c r="E370" s="542" t="s">
        <v>22</v>
      </c>
      <c r="F370" s="542"/>
      <c r="G370" s="542" t="s">
        <v>12</v>
      </c>
      <c r="H370" s="543"/>
      <c r="I370" s="248"/>
      <c r="J370" s="249" t="s">
        <v>39</v>
      </c>
      <c r="K370" s="250"/>
      <c r="L370" s="250"/>
      <c r="M370" s="251"/>
    </row>
    <row r="371" spans="1:15" s="152" customFormat="1" ht="45.75" thickBot="1">
      <c r="A371" s="521"/>
      <c r="B371" s="128" t="s">
        <v>609</v>
      </c>
      <c r="C371" s="128" t="s">
        <v>610</v>
      </c>
      <c r="D371" s="129">
        <v>43205</v>
      </c>
      <c r="E371" s="128"/>
      <c r="F371" s="128" t="s">
        <v>611</v>
      </c>
      <c r="G371" s="544" t="s">
        <v>230</v>
      </c>
      <c r="H371" s="545"/>
      <c r="I371" s="546"/>
      <c r="J371" s="130" t="s">
        <v>27</v>
      </c>
      <c r="K371" s="130"/>
      <c r="L371" s="87" t="s">
        <v>28</v>
      </c>
      <c r="M371" s="88">
        <v>1150</v>
      </c>
    </row>
    <row r="372" spans="1:15" s="152" customFormat="1" ht="23.25" thickBot="1">
      <c r="A372" s="521"/>
      <c r="B372" s="153" t="s">
        <v>29</v>
      </c>
      <c r="C372" s="153" t="s">
        <v>30</v>
      </c>
      <c r="D372" s="153" t="s">
        <v>31</v>
      </c>
      <c r="E372" s="527" t="s">
        <v>32</v>
      </c>
      <c r="F372" s="527"/>
      <c r="G372" s="547"/>
      <c r="H372" s="548"/>
      <c r="I372" s="549"/>
      <c r="J372" s="131" t="s">
        <v>33</v>
      </c>
      <c r="K372" s="132"/>
      <c r="L372" s="90" t="s">
        <v>28</v>
      </c>
      <c r="M372" s="119">
        <v>1700</v>
      </c>
    </row>
    <row r="373" spans="1:15" s="152" customFormat="1" ht="15.75" thickBot="1">
      <c r="A373" s="521"/>
      <c r="B373" s="703" t="s">
        <v>612</v>
      </c>
      <c r="C373" s="703" t="s">
        <v>230</v>
      </c>
      <c r="D373" s="685">
        <v>43207</v>
      </c>
      <c r="E373" s="153"/>
      <c r="F373" s="706" t="s">
        <v>613</v>
      </c>
      <c r="G373" s="550"/>
      <c r="H373" s="551"/>
      <c r="I373" s="552"/>
      <c r="J373" s="131" t="s">
        <v>38</v>
      </c>
      <c r="K373" s="132"/>
      <c r="L373" s="90" t="s">
        <v>28</v>
      </c>
      <c r="M373" s="119">
        <v>823</v>
      </c>
    </row>
    <row r="374" spans="1:15" s="152" customFormat="1" ht="15.75" thickBot="1">
      <c r="A374" s="522"/>
      <c r="B374" s="704"/>
      <c r="C374" s="704"/>
      <c r="D374" s="705"/>
      <c r="E374" s="84"/>
      <c r="F374" s="707"/>
      <c r="G374" s="553"/>
      <c r="H374" s="554"/>
      <c r="I374" s="555"/>
      <c r="J374" s="131" t="s">
        <v>136</v>
      </c>
      <c r="K374" s="132"/>
      <c r="L374" s="90" t="s">
        <v>28</v>
      </c>
      <c r="M374" s="119">
        <v>815</v>
      </c>
    </row>
    <row r="375" spans="1:15" s="152" customFormat="1" ht="24" customHeight="1" thickTop="1" thickBot="1">
      <c r="A375" s="518">
        <f>A370+1</f>
        <v>83</v>
      </c>
      <c r="B375" s="266" t="s">
        <v>19</v>
      </c>
      <c r="C375" s="266" t="s">
        <v>20</v>
      </c>
      <c r="D375" s="266" t="s">
        <v>21</v>
      </c>
      <c r="E375" s="708" t="s">
        <v>22</v>
      </c>
      <c r="F375" s="708"/>
      <c r="G375" s="708" t="s">
        <v>12</v>
      </c>
      <c r="H375" s="708"/>
      <c r="I375" s="266"/>
      <c r="J375" s="267" t="s">
        <v>39</v>
      </c>
      <c r="K375" s="267"/>
      <c r="L375" s="267"/>
      <c r="M375" s="268"/>
    </row>
    <row r="376" spans="1:15" s="152" customFormat="1" ht="45.75" thickBot="1">
      <c r="A376" s="521"/>
      <c r="B376" s="269" t="s">
        <v>614</v>
      </c>
      <c r="C376" s="269" t="s">
        <v>615</v>
      </c>
      <c r="D376" s="270">
        <v>43252</v>
      </c>
      <c r="E376" s="269"/>
      <c r="F376" s="269" t="s">
        <v>144</v>
      </c>
      <c r="G376" s="556" t="s">
        <v>606</v>
      </c>
      <c r="H376" s="557"/>
      <c r="I376" s="557"/>
      <c r="J376" s="86" t="s">
        <v>27</v>
      </c>
      <c r="K376" s="86"/>
      <c r="L376" s="94" t="s">
        <v>28</v>
      </c>
      <c r="M376" s="244">
        <v>2000</v>
      </c>
    </row>
    <row r="377" spans="1:15" s="152" customFormat="1" ht="23.25" thickBot="1">
      <c r="A377" s="521"/>
      <c r="B377" s="271" t="s">
        <v>29</v>
      </c>
      <c r="C377" s="271" t="s">
        <v>30</v>
      </c>
      <c r="D377" s="271" t="s">
        <v>31</v>
      </c>
      <c r="E377" s="709" t="s">
        <v>32</v>
      </c>
      <c r="F377" s="709"/>
      <c r="G377" s="710"/>
      <c r="H377" s="711"/>
      <c r="I377" s="712"/>
      <c r="J377" s="86" t="s">
        <v>33</v>
      </c>
      <c r="K377" s="86"/>
      <c r="L377" s="94" t="s">
        <v>28</v>
      </c>
      <c r="M377" s="244">
        <v>444</v>
      </c>
    </row>
    <row r="378" spans="1:15" s="152" customFormat="1" ht="15.75" thickBot="1">
      <c r="A378" s="521"/>
      <c r="B378" s="713" t="s">
        <v>233</v>
      </c>
      <c r="C378" s="715" t="s">
        <v>160</v>
      </c>
      <c r="D378" s="717">
        <v>43256</v>
      </c>
      <c r="E378" s="272"/>
      <c r="F378" s="719" t="s">
        <v>616</v>
      </c>
      <c r="G378" s="550"/>
      <c r="H378" s="551"/>
      <c r="I378" s="552"/>
      <c r="J378" s="86" t="s">
        <v>38</v>
      </c>
      <c r="K378" s="86"/>
      <c r="L378" s="94" t="s">
        <v>28</v>
      </c>
      <c r="M378" s="244">
        <v>353</v>
      </c>
    </row>
    <row r="379" spans="1:15" s="152" customFormat="1" ht="15.75" thickBot="1">
      <c r="A379" s="521"/>
      <c r="B379" s="713"/>
      <c r="C379" s="715"/>
      <c r="D379" s="717"/>
      <c r="E379" s="272"/>
      <c r="F379" s="719"/>
      <c r="G379" s="550"/>
      <c r="H379" s="551"/>
      <c r="I379" s="552"/>
      <c r="J379" s="86" t="s">
        <v>136</v>
      </c>
      <c r="K379" s="86"/>
      <c r="L379" s="94" t="s">
        <v>28</v>
      </c>
      <c r="M379" s="244">
        <v>195</v>
      </c>
    </row>
    <row r="380" spans="1:15" s="152" customFormat="1" ht="23.25" thickBot="1">
      <c r="A380" s="522"/>
      <c r="B380" s="714"/>
      <c r="C380" s="716"/>
      <c r="D380" s="718"/>
      <c r="E380" s="273"/>
      <c r="F380" s="720"/>
      <c r="G380" s="553"/>
      <c r="H380" s="554"/>
      <c r="I380" s="555"/>
      <c r="J380" s="274" t="s">
        <v>127</v>
      </c>
      <c r="K380" s="274"/>
      <c r="L380" s="211" t="s">
        <v>28</v>
      </c>
      <c r="M380" s="275">
        <v>50</v>
      </c>
    </row>
    <row r="381" spans="1:15" s="152" customFormat="1" ht="24" customHeight="1" thickTop="1">
      <c r="A381" s="518">
        <f>A380+84</f>
        <v>84</v>
      </c>
      <c r="B381" s="161" t="s">
        <v>19</v>
      </c>
      <c r="C381" s="161" t="s">
        <v>20</v>
      </c>
      <c r="D381" s="161" t="s">
        <v>21</v>
      </c>
      <c r="E381" s="542" t="s">
        <v>22</v>
      </c>
      <c r="F381" s="542"/>
      <c r="G381" s="542" t="s">
        <v>12</v>
      </c>
      <c r="H381" s="543"/>
      <c r="I381" s="248"/>
      <c r="J381" s="249" t="s">
        <v>39</v>
      </c>
      <c r="K381" s="250"/>
      <c r="L381" s="250"/>
      <c r="M381" s="251"/>
    </row>
    <row r="382" spans="1:15" s="152" customFormat="1" ht="22.5">
      <c r="A382" s="519"/>
      <c r="B382" s="128" t="s">
        <v>617</v>
      </c>
      <c r="C382" s="89" t="s">
        <v>618</v>
      </c>
      <c r="D382" s="129">
        <v>43217</v>
      </c>
      <c r="E382" s="128"/>
      <c r="F382" s="128" t="s">
        <v>619</v>
      </c>
      <c r="G382" s="524" t="s">
        <v>620</v>
      </c>
      <c r="H382" s="525"/>
      <c r="I382" s="526"/>
      <c r="J382" s="130" t="s">
        <v>27</v>
      </c>
      <c r="K382" s="87"/>
      <c r="L382" s="87" t="s">
        <v>28</v>
      </c>
      <c r="M382" s="98">
        <v>313.5</v>
      </c>
    </row>
    <row r="383" spans="1:15" s="152" customFormat="1" ht="22.5">
      <c r="A383" s="519"/>
      <c r="B383" s="153" t="s">
        <v>29</v>
      </c>
      <c r="C383" s="153" t="s">
        <v>30</v>
      </c>
      <c r="D383" s="153" t="s">
        <v>31</v>
      </c>
      <c r="E383" s="527" t="s">
        <v>32</v>
      </c>
      <c r="F383" s="527"/>
      <c r="G383" s="529"/>
      <c r="H383" s="530"/>
      <c r="I383" s="531"/>
      <c r="J383" s="131" t="s">
        <v>127</v>
      </c>
      <c r="K383" s="90"/>
      <c r="L383" s="90" t="s">
        <v>28</v>
      </c>
      <c r="M383" s="108">
        <v>235.44</v>
      </c>
    </row>
    <row r="384" spans="1:15" s="152" customFormat="1" ht="15.75" thickBot="1">
      <c r="A384" s="520"/>
      <c r="B384" s="276" t="s">
        <v>227</v>
      </c>
      <c r="C384" s="276" t="s">
        <v>620</v>
      </c>
      <c r="D384" s="277">
        <v>43218</v>
      </c>
      <c r="E384" s="278"/>
      <c r="F384" s="279" t="s">
        <v>621</v>
      </c>
      <c r="G384" s="154"/>
      <c r="H384" s="155"/>
      <c r="I384" s="156"/>
      <c r="J384" s="131"/>
      <c r="K384" s="90"/>
      <c r="L384" s="90"/>
      <c r="M384" s="121"/>
    </row>
    <row r="385" spans="1:13" s="152" customFormat="1" ht="24" customHeight="1" thickTop="1">
      <c r="A385" s="518">
        <f>A381+1</f>
        <v>85</v>
      </c>
      <c r="B385" s="150" t="s">
        <v>19</v>
      </c>
      <c r="C385" s="150" t="s">
        <v>20</v>
      </c>
      <c r="D385" s="150" t="s">
        <v>21</v>
      </c>
      <c r="E385" s="523" t="s">
        <v>22</v>
      </c>
      <c r="F385" s="523"/>
      <c r="G385" s="523" t="s">
        <v>12</v>
      </c>
      <c r="H385" s="528"/>
      <c r="I385" s="164"/>
      <c r="J385" s="126" t="s">
        <v>39</v>
      </c>
      <c r="K385" s="127"/>
      <c r="L385" s="127"/>
      <c r="M385" s="22"/>
    </row>
    <row r="386" spans="1:13" s="152" customFormat="1" ht="33.75">
      <c r="A386" s="519"/>
      <c r="B386" s="128" t="s">
        <v>622</v>
      </c>
      <c r="C386" s="280" t="s">
        <v>623</v>
      </c>
      <c r="D386" s="129">
        <v>43213</v>
      </c>
      <c r="E386" s="128"/>
      <c r="F386" s="280" t="s">
        <v>624</v>
      </c>
      <c r="G386" s="524" t="s">
        <v>606</v>
      </c>
      <c r="H386" s="525"/>
      <c r="I386" s="526"/>
      <c r="J386" s="130" t="s">
        <v>27</v>
      </c>
      <c r="K386" s="130"/>
      <c r="L386" s="87" t="s">
        <v>28</v>
      </c>
      <c r="M386" s="88">
        <v>750</v>
      </c>
    </row>
    <row r="387" spans="1:13" s="152" customFormat="1" ht="22.5">
      <c r="A387" s="519"/>
      <c r="B387" s="153" t="s">
        <v>29</v>
      </c>
      <c r="C387" s="153" t="s">
        <v>30</v>
      </c>
      <c r="D387" s="153" t="s">
        <v>31</v>
      </c>
      <c r="E387" s="527" t="s">
        <v>32</v>
      </c>
      <c r="F387" s="527"/>
      <c r="G387" s="529"/>
      <c r="H387" s="530"/>
      <c r="I387" s="531"/>
      <c r="J387" s="131" t="s">
        <v>33</v>
      </c>
      <c r="K387" s="132"/>
      <c r="L387" s="90" t="s">
        <v>28</v>
      </c>
      <c r="M387" s="119">
        <v>1500</v>
      </c>
    </row>
    <row r="388" spans="1:13" s="152" customFormat="1">
      <c r="A388" s="519"/>
      <c r="B388" s="721" t="s">
        <v>625</v>
      </c>
      <c r="C388" s="723" t="s">
        <v>160</v>
      </c>
      <c r="D388" s="725">
        <v>43217</v>
      </c>
      <c r="E388" s="281"/>
      <c r="F388" s="726" t="s">
        <v>626</v>
      </c>
      <c r="G388" s="154"/>
      <c r="H388" s="155"/>
      <c r="I388" s="156"/>
      <c r="J388" s="131" t="s">
        <v>38</v>
      </c>
      <c r="K388" s="132"/>
      <c r="L388" s="90" t="s">
        <v>28</v>
      </c>
      <c r="M388" s="119">
        <v>176</v>
      </c>
    </row>
    <row r="389" spans="1:13" s="152" customFormat="1" ht="15.75" thickBot="1">
      <c r="A389" s="520"/>
      <c r="B389" s="722"/>
      <c r="C389" s="724"/>
      <c r="D389" s="722"/>
      <c r="E389" s="282"/>
      <c r="F389" s="727"/>
      <c r="G389" s="539"/>
      <c r="H389" s="540"/>
      <c r="I389" s="541"/>
      <c r="J389" s="131" t="s">
        <v>136</v>
      </c>
      <c r="K389" s="132"/>
      <c r="L389" s="90" t="s">
        <v>28</v>
      </c>
      <c r="M389" s="119">
        <v>1500</v>
      </c>
    </row>
    <row r="390" spans="1:13" s="152" customFormat="1" ht="24" customHeight="1" thickTop="1" thickBot="1">
      <c r="A390" s="518">
        <f>A389+86</f>
        <v>86</v>
      </c>
      <c r="B390" s="150" t="s">
        <v>19</v>
      </c>
      <c r="C390" s="150" t="s">
        <v>20</v>
      </c>
      <c r="D390" s="150" t="s">
        <v>21</v>
      </c>
      <c r="E390" s="523" t="s">
        <v>22</v>
      </c>
      <c r="F390" s="523"/>
      <c r="G390" s="523" t="s">
        <v>12</v>
      </c>
      <c r="H390" s="528"/>
      <c r="I390" s="164"/>
      <c r="J390" s="126" t="s">
        <v>39</v>
      </c>
      <c r="K390" s="127"/>
      <c r="L390" s="127"/>
      <c r="M390" s="22"/>
    </row>
    <row r="391" spans="1:13" s="152" customFormat="1" ht="34.5" thickBot="1">
      <c r="A391" s="521"/>
      <c r="B391" s="128" t="s">
        <v>627</v>
      </c>
      <c r="C391" s="128" t="s">
        <v>628</v>
      </c>
      <c r="D391" s="129">
        <v>43262</v>
      </c>
      <c r="E391" s="128"/>
      <c r="F391" s="128" t="s">
        <v>629</v>
      </c>
      <c r="G391" s="524" t="s">
        <v>630</v>
      </c>
      <c r="H391" s="525"/>
      <c r="I391" s="526"/>
      <c r="J391" s="130" t="s">
        <v>27</v>
      </c>
      <c r="K391" s="130"/>
      <c r="L391" s="87" t="s">
        <v>28</v>
      </c>
      <c r="M391" s="88">
        <v>209</v>
      </c>
    </row>
    <row r="392" spans="1:13" s="152" customFormat="1" ht="23.25" thickBot="1">
      <c r="A392" s="521"/>
      <c r="B392" s="153" t="s">
        <v>29</v>
      </c>
      <c r="C392" s="153" t="s">
        <v>30</v>
      </c>
      <c r="D392" s="153" t="s">
        <v>31</v>
      </c>
      <c r="E392" s="527" t="s">
        <v>32</v>
      </c>
      <c r="F392" s="527"/>
      <c r="G392" s="529"/>
      <c r="H392" s="530"/>
      <c r="I392" s="531"/>
      <c r="J392" s="131" t="s">
        <v>33</v>
      </c>
      <c r="K392" s="132"/>
      <c r="L392" s="90" t="s">
        <v>28</v>
      </c>
      <c r="M392" s="108">
        <v>279.62</v>
      </c>
    </row>
    <row r="393" spans="1:13" s="152" customFormat="1" ht="15.75" thickBot="1">
      <c r="A393" s="521"/>
      <c r="B393" s="283"/>
      <c r="C393" s="283"/>
      <c r="D393" s="283"/>
      <c r="E393" s="283"/>
      <c r="F393" s="283"/>
      <c r="G393" s="154"/>
      <c r="H393" s="155"/>
      <c r="I393" s="156"/>
      <c r="J393" s="131" t="s">
        <v>38</v>
      </c>
      <c r="K393" s="132"/>
      <c r="L393" s="90" t="s">
        <v>28</v>
      </c>
      <c r="M393" s="119">
        <v>150</v>
      </c>
    </row>
    <row r="394" spans="1:13" s="152" customFormat="1" ht="23.25" thickBot="1">
      <c r="A394" s="522"/>
      <c r="B394" s="133" t="s">
        <v>631</v>
      </c>
      <c r="C394" s="83" t="s">
        <v>630</v>
      </c>
      <c r="D394" s="144">
        <v>43262</v>
      </c>
      <c r="E394" s="135"/>
      <c r="F394" s="25" t="s">
        <v>632</v>
      </c>
      <c r="G394" s="539"/>
      <c r="H394" s="540"/>
      <c r="I394" s="541"/>
      <c r="J394" s="131" t="s">
        <v>223</v>
      </c>
      <c r="K394" s="132"/>
      <c r="L394" s="90" t="s">
        <v>28</v>
      </c>
      <c r="M394" s="108">
        <v>117.98</v>
      </c>
    </row>
    <row r="395" spans="1:13" s="152" customFormat="1" ht="24" customHeight="1" thickTop="1" thickBot="1">
      <c r="A395" s="518">
        <f>A390+1</f>
        <v>87</v>
      </c>
      <c r="B395" s="150" t="s">
        <v>19</v>
      </c>
      <c r="C395" s="150" t="s">
        <v>20</v>
      </c>
      <c r="D395" s="150" t="s">
        <v>21</v>
      </c>
      <c r="E395" s="523" t="s">
        <v>22</v>
      </c>
      <c r="F395" s="523"/>
      <c r="G395" s="523" t="s">
        <v>12</v>
      </c>
      <c r="H395" s="528"/>
      <c r="I395" s="164"/>
      <c r="J395" s="126" t="s">
        <v>39</v>
      </c>
      <c r="K395" s="127"/>
      <c r="L395" s="127"/>
      <c r="M395" s="22"/>
    </row>
    <row r="396" spans="1:13" s="152" customFormat="1" ht="23.25" thickBot="1">
      <c r="A396" s="521"/>
      <c r="B396" s="128" t="s">
        <v>633</v>
      </c>
      <c r="C396" s="128" t="s">
        <v>634</v>
      </c>
      <c r="D396" s="129">
        <v>43253</v>
      </c>
      <c r="E396" s="128"/>
      <c r="F396" s="128" t="s">
        <v>112</v>
      </c>
      <c r="G396" s="524" t="s">
        <v>230</v>
      </c>
      <c r="H396" s="525"/>
      <c r="I396" s="526"/>
      <c r="J396" s="130" t="s">
        <v>27</v>
      </c>
      <c r="K396" s="130"/>
      <c r="L396" s="87" t="s">
        <v>28</v>
      </c>
      <c r="M396" s="88">
        <v>1680</v>
      </c>
    </row>
    <row r="397" spans="1:13" s="152" customFormat="1" ht="23.25" thickBot="1">
      <c r="A397" s="521"/>
      <c r="B397" s="153" t="s">
        <v>29</v>
      </c>
      <c r="C397" s="153" t="s">
        <v>30</v>
      </c>
      <c r="D397" s="153" t="s">
        <v>31</v>
      </c>
      <c r="E397" s="527" t="s">
        <v>32</v>
      </c>
      <c r="F397" s="527"/>
      <c r="G397" s="529"/>
      <c r="H397" s="530"/>
      <c r="I397" s="531"/>
      <c r="J397" s="131" t="s">
        <v>33</v>
      </c>
      <c r="K397" s="132"/>
      <c r="L397" s="90" t="s">
        <v>28</v>
      </c>
      <c r="M397" s="119">
        <v>700</v>
      </c>
    </row>
    <row r="398" spans="1:13" s="152" customFormat="1" ht="15.75" thickBot="1">
      <c r="A398" s="521"/>
      <c r="B398" s="283"/>
      <c r="C398" s="283"/>
      <c r="D398" s="283"/>
      <c r="E398" s="283"/>
      <c r="F398" s="283"/>
      <c r="G398" s="154"/>
      <c r="H398" s="155"/>
      <c r="I398" s="156"/>
      <c r="J398" s="131" t="s">
        <v>38</v>
      </c>
      <c r="K398" s="132"/>
      <c r="L398" s="90" t="s">
        <v>28</v>
      </c>
      <c r="M398" s="119">
        <v>379.5</v>
      </c>
    </row>
    <row r="399" spans="1:13" s="152" customFormat="1" ht="23.25" thickBot="1">
      <c r="A399" s="522"/>
      <c r="B399" s="133" t="s">
        <v>229</v>
      </c>
      <c r="C399" s="133" t="s">
        <v>230</v>
      </c>
      <c r="D399" s="144">
        <v>43257</v>
      </c>
      <c r="E399" s="135"/>
      <c r="F399" s="25" t="s">
        <v>635</v>
      </c>
      <c r="G399" s="539"/>
      <c r="H399" s="540"/>
      <c r="I399" s="541"/>
      <c r="J399" s="131" t="s">
        <v>127</v>
      </c>
      <c r="K399" s="132"/>
      <c r="L399" s="90" t="s">
        <v>28</v>
      </c>
      <c r="M399" s="119">
        <v>50</v>
      </c>
    </row>
    <row r="400" spans="1:13" s="152" customFormat="1" ht="24" customHeight="1" thickTop="1" thickBot="1">
      <c r="A400" s="518">
        <f>A399+88</f>
        <v>88</v>
      </c>
      <c r="B400" s="150" t="s">
        <v>19</v>
      </c>
      <c r="C400" s="150" t="s">
        <v>20</v>
      </c>
      <c r="D400" s="150" t="s">
        <v>21</v>
      </c>
      <c r="E400" s="523" t="s">
        <v>22</v>
      </c>
      <c r="F400" s="523"/>
      <c r="G400" s="523" t="s">
        <v>12</v>
      </c>
      <c r="H400" s="528"/>
      <c r="I400" s="164"/>
      <c r="J400" s="126" t="s">
        <v>39</v>
      </c>
      <c r="K400" s="127"/>
      <c r="L400" s="127"/>
      <c r="M400" s="22"/>
    </row>
    <row r="401" spans="1:13" s="152" customFormat="1" ht="34.5" thickBot="1">
      <c r="A401" s="521"/>
      <c r="B401" s="128" t="s">
        <v>636</v>
      </c>
      <c r="C401" s="128" t="s">
        <v>628</v>
      </c>
      <c r="D401" s="129">
        <v>43271</v>
      </c>
      <c r="E401" s="128"/>
      <c r="F401" s="128" t="s">
        <v>637</v>
      </c>
      <c r="G401" s="524" t="s">
        <v>630</v>
      </c>
      <c r="H401" s="525"/>
      <c r="I401" s="526"/>
      <c r="J401" s="130" t="s">
        <v>27</v>
      </c>
      <c r="K401" s="130"/>
      <c r="L401" s="87" t="s">
        <v>28</v>
      </c>
      <c r="M401" s="88">
        <v>458</v>
      </c>
    </row>
    <row r="402" spans="1:13" s="152" customFormat="1" ht="23.25" thickBot="1">
      <c r="A402" s="521"/>
      <c r="B402" s="153" t="s">
        <v>29</v>
      </c>
      <c r="C402" s="153" t="s">
        <v>30</v>
      </c>
      <c r="D402" s="153" t="s">
        <v>31</v>
      </c>
      <c r="E402" s="527" t="s">
        <v>32</v>
      </c>
      <c r="F402" s="527"/>
      <c r="G402" s="529"/>
      <c r="H402" s="530"/>
      <c r="I402" s="531"/>
      <c r="J402" s="131" t="s">
        <v>33</v>
      </c>
      <c r="K402" s="132"/>
      <c r="L402" s="90" t="s">
        <v>28</v>
      </c>
      <c r="M402" s="119">
        <v>564</v>
      </c>
    </row>
    <row r="403" spans="1:13" s="152" customFormat="1" ht="15.75" thickBot="1">
      <c r="A403" s="521"/>
      <c r="B403" s="283"/>
      <c r="C403" s="283"/>
      <c r="D403" s="283"/>
      <c r="E403" s="283"/>
      <c r="F403" s="283"/>
      <c r="G403" s="154"/>
      <c r="H403" s="155"/>
      <c r="I403" s="156"/>
      <c r="J403" s="131" t="s">
        <v>38</v>
      </c>
      <c r="K403" s="132"/>
      <c r="L403" s="90" t="s">
        <v>28</v>
      </c>
      <c r="M403" s="119">
        <v>450</v>
      </c>
    </row>
    <row r="404" spans="1:13" s="152" customFormat="1" ht="23.25" thickBot="1">
      <c r="A404" s="522"/>
      <c r="B404" s="133" t="s">
        <v>638</v>
      </c>
      <c r="C404" s="133" t="s">
        <v>630</v>
      </c>
      <c r="D404" s="83">
        <v>43273</v>
      </c>
      <c r="E404" s="84"/>
      <c r="F404" s="85" t="s">
        <v>639</v>
      </c>
      <c r="G404" s="532"/>
      <c r="H404" s="533"/>
      <c r="I404" s="534"/>
      <c r="J404" s="131" t="s">
        <v>127</v>
      </c>
      <c r="K404" s="132"/>
      <c r="L404" s="90" t="s">
        <v>28</v>
      </c>
      <c r="M404" s="119">
        <v>30</v>
      </c>
    </row>
    <row r="405" spans="1:13" s="152" customFormat="1" ht="24" customHeight="1" thickTop="1" thickBot="1">
      <c r="A405" s="518">
        <f>A400+1</f>
        <v>89</v>
      </c>
      <c r="B405" s="237" t="s">
        <v>19</v>
      </c>
      <c r="C405" s="237" t="s">
        <v>20</v>
      </c>
      <c r="D405" s="237" t="s">
        <v>21</v>
      </c>
      <c r="E405" s="535" t="s">
        <v>22</v>
      </c>
      <c r="F405" s="535"/>
      <c r="G405" s="535" t="s">
        <v>12</v>
      </c>
      <c r="H405" s="536"/>
      <c r="I405" s="238"/>
      <c r="J405" s="239" t="s">
        <v>39</v>
      </c>
      <c r="K405" s="240"/>
      <c r="L405" s="240"/>
      <c r="M405" s="241"/>
    </row>
    <row r="406" spans="1:13" s="152" customFormat="1" ht="45.75" thickBot="1">
      <c r="A406" s="521"/>
      <c r="B406" s="92" t="s">
        <v>640</v>
      </c>
      <c r="C406" s="92" t="s">
        <v>615</v>
      </c>
      <c r="D406" s="129">
        <v>43252</v>
      </c>
      <c r="E406" s="92"/>
      <c r="F406" s="92" t="s">
        <v>144</v>
      </c>
      <c r="G406" s="524" t="s">
        <v>606</v>
      </c>
      <c r="H406" s="537"/>
      <c r="I406" s="526"/>
      <c r="J406" s="130" t="s">
        <v>27</v>
      </c>
      <c r="K406" s="130"/>
      <c r="L406" s="87" t="s">
        <v>28</v>
      </c>
      <c r="M406" s="88">
        <v>2000</v>
      </c>
    </row>
    <row r="407" spans="1:13" s="152" customFormat="1" ht="23.25" thickBot="1">
      <c r="A407" s="521"/>
      <c r="B407" s="93" t="s">
        <v>29</v>
      </c>
      <c r="C407" s="93" t="s">
        <v>30</v>
      </c>
      <c r="D407" s="93" t="s">
        <v>31</v>
      </c>
      <c r="E407" s="538" t="s">
        <v>32</v>
      </c>
      <c r="F407" s="538"/>
      <c r="G407" s="529"/>
      <c r="H407" s="530"/>
      <c r="I407" s="531"/>
      <c r="J407" s="131" t="s">
        <v>33</v>
      </c>
      <c r="K407" s="132"/>
      <c r="L407" s="90" t="s">
        <v>28</v>
      </c>
      <c r="M407" s="119">
        <v>444</v>
      </c>
    </row>
    <row r="408" spans="1:13" s="152" customFormat="1" ht="15.75" thickBot="1">
      <c r="A408" s="521"/>
      <c r="B408" s="728" t="s">
        <v>233</v>
      </c>
      <c r="C408" s="731" t="s">
        <v>160</v>
      </c>
      <c r="D408" s="734">
        <v>43256</v>
      </c>
      <c r="E408" s="284"/>
      <c r="F408" s="731" t="s">
        <v>616</v>
      </c>
      <c r="G408" s="155"/>
      <c r="H408" s="155"/>
      <c r="I408" s="156"/>
      <c r="J408" s="131" t="s">
        <v>38</v>
      </c>
      <c r="K408" s="132"/>
      <c r="L408" s="90" t="s">
        <v>28</v>
      </c>
      <c r="M408" s="119">
        <v>353</v>
      </c>
    </row>
    <row r="409" spans="1:13" s="152" customFormat="1" ht="15.75" thickBot="1">
      <c r="A409" s="521"/>
      <c r="B409" s="729"/>
      <c r="C409" s="732"/>
      <c r="D409" s="732"/>
      <c r="E409" s="284"/>
      <c r="F409" s="732"/>
      <c r="G409" s="155"/>
      <c r="H409" s="155"/>
      <c r="I409" s="156"/>
      <c r="J409" s="131" t="s">
        <v>136</v>
      </c>
      <c r="K409" s="132"/>
      <c r="L409" s="90" t="s">
        <v>28</v>
      </c>
      <c r="M409" s="119">
        <v>220</v>
      </c>
    </row>
    <row r="410" spans="1:13" s="152" customFormat="1" ht="23.25" thickBot="1">
      <c r="A410" s="522"/>
      <c r="B410" s="730"/>
      <c r="C410" s="733"/>
      <c r="D410" s="733"/>
      <c r="E410" s="285"/>
      <c r="F410" s="733"/>
      <c r="G410" s="596"/>
      <c r="H410" s="596"/>
      <c r="I410" s="597"/>
      <c r="J410" s="210" t="s">
        <v>127</v>
      </c>
      <c r="K410" s="274"/>
      <c r="L410" s="211" t="s">
        <v>28</v>
      </c>
      <c r="M410" s="286">
        <v>50</v>
      </c>
    </row>
    <row r="411" spans="1:13" s="152" customFormat="1" ht="24" customHeight="1" thickTop="1" thickBot="1">
      <c r="A411" s="518">
        <f>A410+90</f>
        <v>90</v>
      </c>
      <c r="B411" s="161" t="s">
        <v>19</v>
      </c>
      <c r="C411" s="161" t="s">
        <v>20</v>
      </c>
      <c r="D411" s="161" t="s">
        <v>21</v>
      </c>
      <c r="E411" s="542" t="s">
        <v>22</v>
      </c>
      <c r="F411" s="542"/>
      <c r="G411" s="542" t="s">
        <v>12</v>
      </c>
      <c r="H411" s="543"/>
      <c r="I411" s="248"/>
      <c r="J411" s="249" t="s">
        <v>39</v>
      </c>
      <c r="K411" s="250"/>
      <c r="L411" s="250"/>
      <c r="M411" s="251"/>
    </row>
    <row r="412" spans="1:13" s="152" customFormat="1" ht="23.25" thickBot="1">
      <c r="A412" s="521"/>
      <c r="B412" s="128" t="s">
        <v>641</v>
      </c>
      <c r="C412" s="128" t="s">
        <v>642</v>
      </c>
      <c r="D412" s="129">
        <v>43236</v>
      </c>
      <c r="E412" s="128"/>
      <c r="F412" s="128" t="s">
        <v>192</v>
      </c>
      <c r="G412" s="524" t="s">
        <v>643</v>
      </c>
      <c r="H412" s="525"/>
      <c r="I412" s="526"/>
      <c r="J412" s="130" t="s">
        <v>27</v>
      </c>
      <c r="K412" s="130"/>
      <c r="L412" s="87" t="s">
        <v>28</v>
      </c>
      <c r="M412" s="88">
        <v>350</v>
      </c>
    </row>
    <row r="413" spans="1:13" s="152" customFormat="1" ht="23.25" thickBot="1">
      <c r="A413" s="521"/>
      <c r="B413" s="153" t="s">
        <v>29</v>
      </c>
      <c r="C413" s="153" t="s">
        <v>30</v>
      </c>
      <c r="D413" s="153" t="s">
        <v>31</v>
      </c>
      <c r="E413" s="527" t="s">
        <v>32</v>
      </c>
      <c r="F413" s="527"/>
      <c r="G413" s="529"/>
      <c r="H413" s="530"/>
      <c r="I413" s="531"/>
      <c r="J413" s="131" t="s">
        <v>33</v>
      </c>
      <c r="K413" s="132"/>
      <c r="L413" s="90" t="s">
        <v>28</v>
      </c>
      <c r="M413" s="119">
        <v>1000</v>
      </c>
    </row>
    <row r="414" spans="1:13" s="152" customFormat="1" ht="15.75" thickBot="1">
      <c r="A414" s="521"/>
      <c r="B414" s="683" t="s">
        <v>233</v>
      </c>
      <c r="C414" s="683" t="s">
        <v>643</v>
      </c>
      <c r="D414" s="685">
        <v>43237</v>
      </c>
      <c r="E414" s="283"/>
      <c r="F414" s="736" t="s">
        <v>644</v>
      </c>
      <c r="G414" s="154"/>
      <c r="H414" s="155"/>
      <c r="I414" s="156"/>
      <c r="J414" s="131" t="s">
        <v>38</v>
      </c>
      <c r="K414" s="132"/>
      <c r="L414" s="90" t="s">
        <v>28</v>
      </c>
      <c r="M414" s="119">
        <v>366</v>
      </c>
    </row>
    <row r="415" spans="1:13" s="152" customFormat="1" ht="23.25" thickBot="1">
      <c r="A415" s="522"/>
      <c r="B415" s="735"/>
      <c r="C415" s="735"/>
      <c r="D415" s="735"/>
      <c r="E415" s="135"/>
      <c r="F415" s="737"/>
      <c r="G415" s="539"/>
      <c r="H415" s="540"/>
      <c r="I415" s="541"/>
      <c r="J415" s="141" t="s">
        <v>127</v>
      </c>
      <c r="K415" s="142"/>
      <c r="L415" s="110" t="s">
        <v>28</v>
      </c>
      <c r="M415" s="120">
        <v>150</v>
      </c>
    </row>
    <row r="416" spans="1:13" s="152" customFormat="1" ht="24" customHeight="1" thickTop="1" thickBot="1">
      <c r="A416" s="518">
        <f>A411+1</f>
        <v>91</v>
      </c>
      <c r="B416" s="150" t="s">
        <v>19</v>
      </c>
      <c r="C416" s="150" t="s">
        <v>20</v>
      </c>
      <c r="D416" s="150" t="s">
        <v>21</v>
      </c>
      <c r="E416" s="523" t="s">
        <v>22</v>
      </c>
      <c r="F416" s="523"/>
      <c r="G416" s="523" t="s">
        <v>12</v>
      </c>
      <c r="H416" s="528"/>
      <c r="I416" s="164"/>
      <c r="J416" s="126" t="s">
        <v>39</v>
      </c>
      <c r="K416" s="127"/>
      <c r="L416" s="127"/>
      <c r="M416" s="22"/>
    </row>
    <row r="417" spans="1:13" s="152" customFormat="1" ht="23.25" thickBot="1">
      <c r="A417" s="521"/>
      <c r="B417" s="128" t="s">
        <v>645</v>
      </c>
      <c r="C417" s="128" t="s">
        <v>634</v>
      </c>
      <c r="D417" s="129">
        <v>43253</v>
      </c>
      <c r="E417" s="128"/>
      <c r="F417" s="128" t="s">
        <v>112</v>
      </c>
      <c r="G417" s="524" t="s">
        <v>646</v>
      </c>
      <c r="H417" s="525"/>
      <c r="I417" s="526"/>
      <c r="J417" s="130" t="s">
        <v>27</v>
      </c>
      <c r="K417" s="130"/>
      <c r="L417" s="87" t="s">
        <v>28</v>
      </c>
      <c r="M417" s="88">
        <v>1180</v>
      </c>
    </row>
    <row r="418" spans="1:13" s="152" customFormat="1" ht="23.25" thickBot="1">
      <c r="A418" s="521"/>
      <c r="B418" s="153" t="s">
        <v>29</v>
      </c>
      <c r="C418" s="153" t="s">
        <v>30</v>
      </c>
      <c r="D418" s="153" t="s">
        <v>31</v>
      </c>
      <c r="E418" s="527" t="s">
        <v>32</v>
      </c>
      <c r="F418" s="527"/>
      <c r="G418" s="529"/>
      <c r="H418" s="530"/>
      <c r="I418" s="531"/>
      <c r="J418" s="131" t="s">
        <v>33</v>
      </c>
      <c r="K418" s="132"/>
      <c r="L418" s="90" t="s">
        <v>28</v>
      </c>
      <c r="M418" s="119">
        <v>700</v>
      </c>
    </row>
    <row r="419" spans="1:13" s="152" customFormat="1" ht="15.75" thickBot="1">
      <c r="A419" s="521"/>
      <c r="B419" s="689" t="s">
        <v>647</v>
      </c>
      <c r="C419" s="683" t="s">
        <v>646</v>
      </c>
      <c r="D419" s="685">
        <v>43256</v>
      </c>
      <c r="E419" s="272"/>
      <c r="F419" s="736" t="s">
        <v>648</v>
      </c>
      <c r="G419" s="155"/>
      <c r="H419" s="155"/>
      <c r="I419" s="156"/>
      <c r="J419" s="131" t="s">
        <v>38</v>
      </c>
      <c r="K419" s="132"/>
      <c r="L419" s="90" t="s">
        <v>28</v>
      </c>
      <c r="M419" s="108">
        <v>208.5</v>
      </c>
    </row>
    <row r="420" spans="1:13" s="152" customFormat="1" ht="15.75" thickBot="1">
      <c r="A420" s="521"/>
      <c r="B420" s="738"/>
      <c r="C420" s="740"/>
      <c r="D420" s="740"/>
      <c r="E420" s="287"/>
      <c r="F420" s="741"/>
      <c r="G420" s="154"/>
      <c r="H420" s="155"/>
      <c r="I420" s="156"/>
      <c r="J420" s="131" t="s">
        <v>136</v>
      </c>
      <c r="K420" s="132"/>
      <c r="L420" s="90" t="s">
        <v>28</v>
      </c>
      <c r="M420" s="119">
        <v>1805</v>
      </c>
    </row>
    <row r="421" spans="1:13" s="152" customFormat="1" ht="23.25" thickBot="1">
      <c r="A421" s="522"/>
      <c r="B421" s="739"/>
      <c r="C421" s="735"/>
      <c r="D421" s="735"/>
      <c r="E421" s="135"/>
      <c r="F421" s="737"/>
      <c r="G421" s="539"/>
      <c r="H421" s="540"/>
      <c r="I421" s="541"/>
      <c r="J421" s="131" t="s">
        <v>127</v>
      </c>
      <c r="K421" s="132"/>
      <c r="L421" s="90" t="s">
        <v>28</v>
      </c>
      <c r="M421" s="119">
        <v>50</v>
      </c>
    </row>
    <row r="422" spans="1:13" s="152" customFormat="1" ht="24" customHeight="1" thickTop="1" thickBot="1">
      <c r="A422" s="518">
        <f>A421+92</f>
        <v>92</v>
      </c>
      <c r="B422" s="150" t="s">
        <v>19</v>
      </c>
      <c r="C422" s="150" t="s">
        <v>20</v>
      </c>
      <c r="D422" s="150" t="s">
        <v>21</v>
      </c>
      <c r="E422" s="523" t="s">
        <v>22</v>
      </c>
      <c r="F422" s="523"/>
      <c r="G422" s="523" t="s">
        <v>12</v>
      </c>
      <c r="H422" s="528"/>
      <c r="I422" s="164"/>
      <c r="J422" s="126" t="s">
        <v>39</v>
      </c>
      <c r="K422" s="127"/>
      <c r="L422" s="127"/>
      <c r="M422" s="22"/>
    </row>
    <row r="423" spans="1:13" s="152" customFormat="1" ht="34.5" thickBot="1">
      <c r="A423" s="521"/>
      <c r="B423" s="128" t="s">
        <v>649</v>
      </c>
      <c r="C423" s="128" t="s">
        <v>650</v>
      </c>
      <c r="D423" s="129">
        <v>43240</v>
      </c>
      <c r="E423" s="128"/>
      <c r="F423" s="128" t="s">
        <v>619</v>
      </c>
      <c r="G423" s="524" t="s">
        <v>651</v>
      </c>
      <c r="H423" s="525"/>
      <c r="I423" s="526"/>
      <c r="J423" s="130" t="s">
        <v>27</v>
      </c>
      <c r="K423" s="130"/>
      <c r="L423" s="87" t="s">
        <v>28</v>
      </c>
      <c r="M423" s="88">
        <v>278</v>
      </c>
    </row>
    <row r="424" spans="1:13" s="152" customFormat="1" ht="23.25" thickBot="1">
      <c r="A424" s="521"/>
      <c r="B424" s="153" t="s">
        <v>29</v>
      </c>
      <c r="C424" s="153" t="s">
        <v>30</v>
      </c>
      <c r="D424" s="153" t="s">
        <v>31</v>
      </c>
      <c r="E424" s="527" t="s">
        <v>32</v>
      </c>
      <c r="F424" s="527"/>
      <c r="G424" s="529"/>
      <c r="H424" s="530"/>
      <c r="I424" s="531"/>
      <c r="J424" s="131" t="s">
        <v>38</v>
      </c>
      <c r="K424" s="132"/>
      <c r="L424" s="90" t="s">
        <v>28</v>
      </c>
      <c r="M424" s="119">
        <v>200</v>
      </c>
    </row>
    <row r="425" spans="1:13" s="152" customFormat="1" ht="34.5" thickBot="1">
      <c r="A425" s="522"/>
      <c r="B425" s="134" t="s">
        <v>652</v>
      </c>
      <c r="C425" s="134" t="s">
        <v>653</v>
      </c>
      <c r="D425" s="144">
        <v>43242</v>
      </c>
      <c r="E425" s="135"/>
      <c r="F425" s="140" t="s">
        <v>654</v>
      </c>
      <c r="G425" s="154"/>
      <c r="H425" s="155"/>
      <c r="I425" s="156"/>
      <c r="J425" s="131"/>
      <c r="K425" s="132"/>
      <c r="L425" s="90"/>
      <c r="M425" s="119"/>
    </row>
    <row r="426" spans="1:13" s="152" customFormat="1" ht="24" customHeight="1" thickTop="1" thickBot="1">
      <c r="A426" s="518">
        <f>A422+1</f>
        <v>93</v>
      </c>
      <c r="B426" s="150" t="s">
        <v>19</v>
      </c>
      <c r="C426" s="150" t="s">
        <v>20</v>
      </c>
      <c r="D426" s="150" t="s">
        <v>21</v>
      </c>
      <c r="E426" s="523" t="s">
        <v>22</v>
      </c>
      <c r="F426" s="523"/>
      <c r="G426" s="523" t="s">
        <v>12</v>
      </c>
      <c r="H426" s="528"/>
      <c r="I426" s="164"/>
      <c r="J426" s="126" t="s">
        <v>39</v>
      </c>
      <c r="K426" s="127"/>
      <c r="L426" s="127"/>
      <c r="M426" s="22"/>
    </row>
    <row r="427" spans="1:13" s="152" customFormat="1" ht="23.25" thickBot="1">
      <c r="A427" s="521"/>
      <c r="B427" s="128" t="s">
        <v>655</v>
      </c>
      <c r="C427" s="128" t="s">
        <v>656</v>
      </c>
      <c r="D427" s="129">
        <v>43311</v>
      </c>
      <c r="E427" s="128"/>
      <c r="F427" s="128" t="s">
        <v>155</v>
      </c>
      <c r="G427" s="544" t="s">
        <v>606</v>
      </c>
      <c r="H427" s="545"/>
      <c r="I427" s="546"/>
      <c r="J427" s="130" t="s">
        <v>27</v>
      </c>
      <c r="K427" s="130"/>
      <c r="L427" s="87" t="s">
        <v>28</v>
      </c>
      <c r="M427" s="88">
        <v>525</v>
      </c>
    </row>
    <row r="428" spans="1:13" s="152" customFormat="1" ht="23.25" thickBot="1">
      <c r="A428" s="521"/>
      <c r="B428" s="153" t="s">
        <v>29</v>
      </c>
      <c r="C428" s="153" t="s">
        <v>30</v>
      </c>
      <c r="D428" s="153" t="s">
        <v>31</v>
      </c>
      <c r="E428" s="527" t="s">
        <v>32</v>
      </c>
      <c r="F428" s="527"/>
      <c r="G428" s="529"/>
      <c r="H428" s="530"/>
      <c r="I428" s="531"/>
      <c r="J428" s="131" t="s">
        <v>33</v>
      </c>
      <c r="K428" s="132"/>
      <c r="L428" s="90" t="s">
        <v>28</v>
      </c>
      <c r="M428" s="119">
        <v>350</v>
      </c>
    </row>
    <row r="429" spans="1:13" s="152" customFormat="1" ht="23.25" thickBot="1">
      <c r="A429" s="522"/>
      <c r="B429" s="276" t="s">
        <v>657</v>
      </c>
      <c r="C429" s="276" t="s">
        <v>160</v>
      </c>
      <c r="D429" s="288">
        <v>43312</v>
      </c>
      <c r="E429" s="281"/>
      <c r="F429" s="279" t="s">
        <v>658</v>
      </c>
      <c r="G429" s="154"/>
      <c r="H429" s="155"/>
      <c r="I429" s="156"/>
      <c r="J429" s="131" t="s">
        <v>38</v>
      </c>
      <c r="K429" s="132"/>
      <c r="L429" s="90" t="s">
        <v>28</v>
      </c>
      <c r="M429" s="119">
        <v>207</v>
      </c>
    </row>
    <row r="430" spans="1:13" s="152" customFormat="1" ht="24" customHeight="1" thickTop="1" thickBot="1">
      <c r="A430" s="518">
        <f>A429+94</f>
        <v>94</v>
      </c>
      <c r="B430" s="150" t="s">
        <v>19</v>
      </c>
      <c r="C430" s="150" t="s">
        <v>20</v>
      </c>
      <c r="D430" s="150" t="s">
        <v>21</v>
      </c>
      <c r="E430" s="523" t="s">
        <v>22</v>
      </c>
      <c r="F430" s="523"/>
      <c r="G430" s="523" t="s">
        <v>12</v>
      </c>
      <c r="H430" s="528"/>
      <c r="I430" s="164"/>
      <c r="J430" s="126" t="s">
        <v>39</v>
      </c>
      <c r="K430" s="127"/>
      <c r="L430" s="127"/>
      <c r="M430" s="22"/>
    </row>
    <row r="431" spans="1:13" s="152" customFormat="1" ht="23.25" thickBot="1">
      <c r="A431" s="521"/>
      <c r="B431" s="128" t="s">
        <v>659</v>
      </c>
      <c r="C431" s="128" t="s">
        <v>634</v>
      </c>
      <c r="D431" s="129">
        <v>43253</v>
      </c>
      <c r="E431" s="128"/>
      <c r="F431" s="128" t="s">
        <v>112</v>
      </c>
      <c r="G431" s="524" t="s">
        <v>230</v>
      </c>
      <c r="H431" s="525"/>
      <c r="I431" s="526"/>
      <c r="J431" s="130" t="s">
        <v>27</v>
      </c>
      <c r="K431" s="130"/>
      <c r="L431" s="87" t="s">
        <v>28</v>
      </c>
      <c r="M431" s="88">
        <v>1680</v>
      </c>
    </row>
    <row r="432" spans="1:13" s="152" customFormat="1" ht="23.25" thickBot="1">
      <c r="A432" s="521"/>
      <c r="B432" s="153" t="s">
        <v>29</v>
      </c>
      <c r="C432" s="153" t="s">
        <v>30</v>
      </c>
      <c r="D432" s="153" t="s">
        <v>31</v>
      </c>
      <c r="E432" s="527" t="s">
        <v>32</v>
      </c>
      <c r="F432" s="527"/>
      <c r="G432" s="529"/>
      <c r="H432" s="530"/>
      <c r="I432" s="531"/>
      <c r="J432" s="131" t="s">
        <v>33</v>
      </c>
      <c r="K432" s="132"/>
      <c r="L432" s="90" t="s">
        <v>28</v>
      </c>
      <c r="M432" s="108">
        <v>700</v>
      </c>
    </row>
    <row r="433" spans="1:13" s="152" customFormat="1" ht="15.75" thickBot="1">
      <c r="A433" s="521"/>
      <c r="B433" s="683" t="s">
        <v>222</v>
      </c>
      <c r="C433" s="683" t="s">
        <v>230</v>
      </c>
      <c r="D433" s="685">
        <v>43256</v>
      </c>
      <c r="E433" s="283"/>
      <c r="F433" s="736" t="s">
        <v>635</v>
      </c>
      <c r="G433" s="154"/>
      <c r="H433" s="155"/>
      <c r="I433" s="156"/>
      <c r="J433" s="131" t="s">
        <v>38</v>
      </c>
      <c r="K433" s="132"/>
      <c r="L433" s="90" t="s">
        <v>28</v>
      </c>
      <c r="M433" s="108">
        <v>379.5</v>
      </c>
    </row>
    <row r="434" spans="1:13" s="152" customFormat="1" ht="23.25" thickBot="1">
      <c r="A434" s="522"/>
      <c r="B434" s="735"/>
      <c r="C434" s="735"/>
      <c r="D434" s="735"/>
      <c r="E434" s="135"/>
      <c r="F434" s="737"/>
      <c r="G434" s="539"/>
      <c r="H434" s="540"/>
      <c r="I434" s="541"/>
      <c r="J434" s="141" t="s">
        <v>127</v>
      </c>
      <c r="K434" s="142"/>
      <c r="L434" s="110" t="s">
        <v>28</v>
      </c>
      <c r="M434" s="120">
        <v>50</v>
      </c>
    </row>
    <row r="435" spans="1:13" s="152" customFormat="1" ht="24" customHeight="1" thickTop="1" thickBot="1">
      <c r="A435" s="518">
        <f>A430+1</f>
        <v>95</v>
      </c>
      <c r="B435" s="150" t="s">
        <v>19</v>
      </c>
      <c r="C435" s="150" t="s">
        <v>20</v>
      </c>
      <c r="D435" s="150" t="s">
        <v>21</v>
      </c>
      <c r="E435" s="523" t="s">
        <v>22</v>
      </c>
      <c r="F435" s="523"/>
      <c r="G435" s="523" t="s">
        <v>12</v>
      </c>
      <c r="H435" s="528"/>
      <c r="I435" s="164"/>
      <c r="J435" s="126" t="s">
        <v>39</v>
      </c>
      <c r="K435" s="127"/>
      <c r="L435" s="127"/>
      <c r="M435" s="22"/>
    </row>
    <row r="436" spans="1:13" s="152" customFormat="1" ht="34.5" thickBot="1">
      <c r="A436" s="521"/>
      <c r="B436" s="128" t="s">
        <v>660</v>
      </c>
      <c r="C436" s="128" t="s">
        <v>661</v>
      </c>
      <c r="D436" s="129">
        <v>43254</v>
      </c>
      <c r="E436" s="128"/>
      <c r="F436" s="128" t="s">
        <v>662</v>
      </c>
      <c r="G436" s="524" t="s">
        <v>663</v>
      </c>
      <c r="H436" s="525"/>
      <c r="I436" s="526"/>
      <c r="J436" s="130" t="s">
        <v>27</v>
      </c>
      <c r="K436" s="130"/>
      <c r="L436" s="87" t="s">
        <v>28</v>
      </c>
      <c r="M436" s="98">
        <v>1509.39</v>
      </c>
    </row>
    <row r="437" spans="1:13" s="152" customFormat="1" ht="23.25" thickBot="1">
      <c r="A437" s="521"/>
      <c r="B437" s="153" t="s">
        <v>29</v>
      </c>
      <c r="C437" s="153" t="s">
        <v>30</v>
      </c>
      <c r="D437" s="153" t="s">
        <v>31</v>
      </c>
      <c r="E437" s="527" t="s">
        <v>32</v>
      </c>
      <c r="F437" s="527"/>
      <c r="G437" s="529"/>
      <c r="H437" s="530"/>
      <c r="I437" s="531"/>
      <c r="J437" s="131" t="s">
        <v>33</v>
      </c>
      <c r="K437" s="132"/>
      <c r="L437" s="90" t="s">
        <v>28</v>
      </c>
      <c r="M437" s="108">
        <v>474.99</v>
      </c>
    </row>
    <row r="438" spans="1:13" s="152" customFormat="1" ht="15.75" thickBot="1">
      <c r="A438" s="521"/>
      <c r="B438" s="723" t="s">
        <v>664</v>
      </c>
      <c r="C438" s="683" t="s">
        <v>665</v>
      </c>
      <c r="D438" s="685">
        <v>43266</v>
      </c>
      <c r="E438" s="283"/>
      <c r="F438" s="736" t="s">
        <v>666</v>
      </c>
      <c r="G438" s="154"/>
      <c r="H438" s="155"/>
      <c r="I438" s="156"/>
      <c r="J438" s="131" t="s">
        <v>38</v>
      </c>
      <c r="K438" s="132"/>
      <c r="L438" s="90" t="s">
        <v>28</v>
      </c>
      <c r="M438" s="119">
        <v>600</v>
      </c>
    </row>
    <row r="439" spans="1:13" s="152" customFormat="1" ht="15.75" thickBot="1">
      <c r="A439" s="521"/>
      <c r="B439" s="738"/>
      <c r="C439" s="740"/>
      <c r="D439" s="740"/>
      <c r="E439" s="283"/>
      <c r="F439" s="741"/>
      <c r="G439" s="154"/>
      <c r="H439" s="155"/>
      <c r="I439" s="156"/>
      <c r="J439" s="131" t="s">
        <v>223</v>
      </c>
      <c r="K439" s="132"/>
      <c r="L439" s="90" t="s">
        <v>28</v>
      </c>
      <c r="M439" s="119">
        <v>1500</v>
      </c>
    </row>
    <row r="440" spans="1:13" s="152" customFormat="1" ht="23.25" thickBot="1">
      <c r="A440" s="522"/>
      <c r="B440" s="739"/>
      <c r="C440" s="735"/>
      <c r="D440" s="735"/>
      <c r="E440" s="135"/>
      <c r="F440" s="737"/>
      <c r="G440" s="539"/>
      <c r="H440" s="540"/>
      <c r="I440" s="541"/>
      <c r="J440" s="131" t="s">
        <v>667</v>
      </c>
      <c r="K440" s="132"/>
      <c r="L440" s="90" t="s">
        <v>28</v>
      </c>
      <c r="M440" s="119">
        <v>1000</v>
      </c>
    </row>
    <row r="441" spans="1:13" s="152" customFormat="1" ht="24" customHeight="1" thickTop="1" thickBot="1">
      <c r="A441" s="518">
        <f>A440+96</f>
        <v>96</v>
      </c>
      <c r="B441" s="150" t="s">
        <v>19</v>
      </c>
      <c r="C441" s="150" t="s">
        <v>20</v>
      </c>
      <c r="D441" s="150" t="s">
        <v>21</v>
      </c>
      <c r="E441" s="523" t="s">
        <v>22</v>
      </c>
      <c r="F441" s="523"/>
      <c r="G441" s="523" t="s">
        <v>12</v>
      </c>
      <c r="H441" s="528"/>
      <c r="I441" s="164"/>
      <c r="J441" s="126" t="s">
        <v>39</v>
      </c>
      <c r="K441" s="127"/>
      <c r="L441" s="127"/>
      <c r="M441" s="22"/>
    </row>
    <row r="442" spans="1:13" s="152" customFormat="1" ht="45.75" thickBot="1">
      <c r="A442" s="521"/>
      <c r="B442" s="128" t="s">
        <v>668</v>
      </c>
      <c r="C442" s="128" t="s">
        <v>669</v>
      </c>
      <c r="D442" s="129">
        <v>43297</v>
      </c>
      <c r="E442" s="128"/>
      <c r="F442" s="128" t="s">
        <v>216</v>
      </c>
      <c r="G442" s="524" t="s">
        <v>217</v>
      </c>
      <c r="H442" s="525"/>
      <c r="I442" s="526"/>
      <c r="J442" s="130" t="s">
        <v>27</v>
      </c>
      <c r="K442" s="130"/>
      <c r="L442" s="87" t="s">
        <v>28</v>
      </c>
      <c r="M442" s="289">
        <v>1001</v>
      </c>
    </row>
    <row r="443" spans="1:13" s="152" customFormat="1" ht="23.25" thickBot="1">
      <c r="A443" s="521"/>
      <c r="B443" s="153" t="s">
        <v>29</v>
      </c>
      <c r="C443" s="153" t="s">
        <v>30</v>
      </c>
      <c r="D443" s="153" t="s">
        <v>31</v>
      </c>
      <c r="E443" s="527" t="s">
        <v>32</v>
      </c>
      <c r="F443" s="527"/>
      <c r="G443" s="529"/>
      <c r="H443" s="530"/>
      <c r="I443" s="531"/>
      <c r="J443" s="131" t="s">
        <v>33</v>
      </c>
      <c r="K443" s="132"/>
      <c r="L443" s="90" t="s">
        <v>28</v>
      </c>
      <c r="M443" s="119">
        <v>270</v>
      </c>
    </row>
    <row r="444" spans="1:13" s="152" customFormat="1" ht="34.5" thickBot="1">
      <c r="A444" s="522"/>
      <c r="B444" s="134" t="s">
        <v>670</v>
      </c>
      <c r="C444" s="134" t="s">
        <v>217</v>
      </c>
      <c r="D444" s="144">
        <v>43299</v>
      </c>
      <c r="E444" s="135"/>
      <c r="F444" s="140" t="s">
        <v>671</v>
      </c>
      <c r="G444" s="539"/>
      <c r="H444" s="540"/>
      <c r="I444" s="541"/>
      <c r="J444" s="141" t="s">
        <v>38</v>
      </c>
      <c r="K444" s="142"/>
      <c r="L444" s="110" t="s">
        <v>28</v>
      </c>
      <c r="M444" s="120">
        <v>200</v>
      </c>
    </row>
    <row r="445" spans="1:13" s="152" customFormat="1" ht="24" customHeight="1" thickTop="1" thickBot="1">
      <c r="A445" s="518">
        <f>A441+1</f>
        <v>97</v>
      </c>
      <c r="B445" s="150" t="s">
        <v>19</v>
      </c>
      <c r="C445" s="150" t="s">
        <v>20</v>
      </c>
      <c r="D445" s="150" t="s">
        <v>21</v>
      </c>
      <c r="E445" s="523" t="s">
        <v>22</v>
      </c>
      <c r="F445" s="523"/>
      <c r="G445" s="523" t="s">
        <v>12</v>
      </c>
      <c r="H445" s="528"/>
      <c r="I445" s="164"/>
      <c r="J445" s="126" t="s">
        <v>39</v>
      </c>
      <c r="K445" s="127"/>
      <c r="L445" s="127"/>
      <c r="M445" s="22"/>
    </row>
    <row r="446" spans="1:13" s="152" customFormat="1" ht="45.75" thickBot="1">
      <c r="A446" s="521"/>
      <c r="B446" s="128" t="s">
        <v>605</v>
      </c>
      <c r="C446" s="128" t="s">
        <v>672</v>
      </c>
      <c r="D446" s="129">
        <v>43376</v>
      </c>
      <c r="E446" s="128"/>
      <c r="F446" s="128" t="s">
        <v>25</v>
      </c>
      <c r="G446" s="524" t="s">
        <v>606</v>
      </c>
      <c r="H446" s="525"/>
      <c r="I446" s="526"/>
      <c r="J446" s="130" t="s">
        <v>27</v>
      </c>
      <c r="K446" s="130"/>
      <c r="L446" s="87" t="s">
        <v>28</v>
      </c>
      <c r="M446" s="98">
        <v>906</v>
      </c>
    </row>
    <row r="447" spans="1:13" s="152" customFormat="1" ht="23.25" thickBot="1">
      <c r="A447" s="521"/>
      <c r="B447" s="153" t="s">
        <v>29</v>
      </c>
      <c r="C447" s="153" t="s">
        <v>30</v>
      </c>
      <c r="D447" s="153" t="s">
        <v>31</v>
      </c>
      <c r="E447" s="527" t="s">
        <v>32</v>
      </c>
      <c r="F447" s="527"/>
      <c r="G447" s="529"/>
      <c r="H447" s="530"/>
      <c r="I447" s="531"/>
      <c r="J447" s="131" t="s">
        <v>33</v>
      </c>
      <c r="K447" s="132"/>
      <c r="L447" s="90" t="s">
        <v>28</v>
      </c>
      <c r="M447" s="108">
        <v>328.6</v>
      </c>
    </row>
    <row r="448" spans="1:13" s="152" customFormat="1" ht="23.25" thickBot="1">
      <c r="A448" s="522"/>
      <c r="B448" s="183" t="s">
        <v>607</v>
      </c>
      <c r="C448" s="183" t="s">
        <v>160</v>
      </c>
      <c r="D448" s="290">
        <v>43378</v>
      </c>
      <c r="E448" s="291"/>
      <c r="F448" s="292" t="s">
        <v>673</v>
      </c>
      <c r="G448" s="154"/>
      <c r="H448" s="155"/>
      <c r="I448" s="156"/>
      <c r="J448" s="131" t="s">
        <v>136</v>
      </c>
      <c r="K448" s="132"/>
      <c r="L448" s="231" t="s">
        <v>28</v>
      </c>
      <c r="M448" s="119">
        <v>685</v>
      </c>
    </row>
    <row r="449" spans="1:13" s="152" customFormat="1" ht="24" customHeight="1" thickTop="1" thickBot="1">
      <c r="A449" s="518">
        <f>A448+98</f>
        <v>98</v>
      </c>
      <c r="B449" s="150" t="s">
        <v>19</v>
      </c>
      <c r="C449" s="150" t="s">
        <v>20</v>
      </c>
      <c r="D449" s="150" t="s">
        <v>21</v>
      </c>
      <c r="E449" s="523" t="s">
        <v>22</v>
      </c>
      <c r="F449" s="523"/>
      <c r="G449" s="523" t="s">
        <v>12</v>
      </c>
      <c r="H449" s="528"/>
      <c r="I449" s="164"/>
      <c r="J449" s="126" t="s">
        <v>39</v>
      </c>
      <c r="K449" s="127"/>
      <c r="L449" s="127"/>
      <c r="M449" s="22"/>
    </row>
    <row r="450" spans="1:13" s="152" customFormat="1" ht="57" thickBot="1">
      <c r="A450" s="521"/>
      <c r="B450" s="128" t="s">
        <v>674</v>
      </c>
      <c r="C450" s="128" t="s">
        <v>675</v>
      </c>
      <c r="D450" s="129">
        <v>43337</v>
      </c>
      <c r="E450" s="128"/>
      <c r="F450" s="128" t="s">
        <v>166</v>
      </c>
      <c r="G450" s="524" t="s">
        <v>230</v>
      </c>
      <c r="H450" s="525"/>
      <c r="I450" s="526"/>
      <c r="J450" s="130" t="s">
        <v>27</v>
      </c>
      <c r="K450" s="130"/>
      <c r="L450" s="87" t="s">
        <v>28</v>
      </c>
      <c r="M450" s="88">
        <v>980</v>
      </c>
    </row>
    <row r="451" spans="1:13" s="152" customFormat="1" ht="23.25" thickBot="1">
      <c r="A451" s="521"/>
      <c r="B451" s="153" t="s">
        <v>29</v>
      </c>
      <c r="C451" s="153" t="s">
        <v>30</v>
      </c>
      <c r="D451" s="153" t="s">
        <v>31</v>
      </c>
      <c r="E451" s="527" t="s">
        <v>32</v>
      </c>
      <c r="F451" s="527"/>
      <c r="G451" s="529"/>
      <c r="H451" s="530"/>
      <c r="I451" s="531"/>
      <c r="J451" s="131" t="s">
        <v>33</v>
      </c>
      <c r="K451" s="132"/>
      <c r="L451" s="90" t="s">
        <v>28</v>
      </c>
      <c r="M451" s="119">
        <v>700</v>
      </c>
    </row>
    <row r="452" spans="1:13" s="152" customFormat="1" ht="15.75" thickBot="1">
      <c r="A452" s="521"/>
      <c r="B452" s="683" t="s">
        <v>231</v>
      </c>
      <c r="C452" s="683" t="s">
        <v>230</v>
      </c>
      <c r="D452" s="685">
        <v>43340</v>
      </c>
      <c r="E452" s="283"/>
      <c r="F452" s="736" t="s">
        <v>676</v>
      </c>
      <c r="G452" s="154"/>
      <c r="H452" s="155"/>
      <c r="I452" s="156"/>
      <c r="J452" s="131" t="s">
        <v>38</v>
      </c>
      <c r="K452" s="132"/>
      <c r="L452" s="90" t="s">
        <v>28</v>
      </c>
      <c r="M452" s="108">
        <v>315.5</v>
      </c>
    </row>
    <row r="453" spans="1:13" s="152" customFormat="1" ht="15.75" thickBot="1">
      <c r="A453" s="521"/>
      <c r="B453" s="740"/>
      <c r="C453" s="740"/>
      <c r="D453" s="740"/>
      <c r="E453" s="283"/>
      <c r="F453" s="741"/>
      <c r="G453" s="154"/>
      <c r="H453" s="155"/>
      <c r="I453" s="156"/>
      <c r="J453" s="131" t="s">
        <v>136</v>
      </c>
      <c r="K453" s="132"/>
      <c r="L453" s="90" t="s">
        <v>28</v>
      </c>
      <c r="M453" s="119">
        <v>1615</v>
      </c>
    </row>
    <row r="454" spans="1:13" s="152" customFormat="1" ht="23.25" thickBot="1">
      <c r="A454" s="522"/>
      <c r="B454" s="735"/>
      <c r="C454" s="735"/>
      <c r="D454" s="735"/>
      <c r="E454" s="135"/>
      <c r="F454" s="737"/>
      <c r="G454" s="539"/>
      <c r="H454" s="540"/>
      <c r="I454" s="541"/>
      <c r="J454" s="141" t="s">
        <v>127</v>
      </c>
      <c r="K454" s="142"/>
      <c r="L454" s="110" t="s">
        <v>28</v>
      </c>
      <c r="M454" s="120">
        <v>75</v>
      </c>
    </row>
    <row r="455" spans="1:13" s="152" customFormat="1" ht="24" customHeight="1" thickTop="1" thickBot="1">
      <c r="A455" s="518">
        <f>A449+1</f>
        <v>99</v>
      </c>
      <c r="B455" s="150" t="s">
        <v>19</v>
      </c>
      <c r="C455" s="150" t="s">
        <v>20</v>
      </c>
      <c r="D455" s="150" t="s">
        <v>21</v>
      </c>
      <c r="E455" s="523" t="s">
        <v>22</v>
      </c>
      <c r="F455" s="523"/>
      <c r="G455" s="523" t="s">
        <v>12</v>
      </c>
      <c r="H455" s="528"/>
      <c r="I455" s="164"/>
      <c r="J455" s="126" t="s">
        <v>39</v>
      </c>
      <c r="K455" s="127"/>
      <c r="L455" s="127"/>
      <c r="M455" s="22"/>
    </row>
    <row r="456" spans="1:13" s="152" customFormat="1" ht="23.25" thickBot="1">
      <c r="A456" s="521"/>
      <c r="B456" s="128" t="s">
        <v>677</v>
      </c>
      <c r="C456" s="128" t="s">
        <v>678</v>
      </c>
      <c r="D456" s="129">
        <v>43314</v>
      </c>
      <c r="E456" s="128"/>
      <c r="F456" s="128" t="s">
        <v>137</v>
      </c>
      <c r="G456" s="524" t="s">
        <v>224</v>
      </c>
      <c r="H456" s="525"/>
      <c r="I456" s="526"/>
      <c r="J456" s="130" t="s">
        <v>27</v>
      </c>
      <c r="K456" s="130"/>
      <c r="L456" s="87" t="s">
        <v>28</v>
      </c>
      <c r="M456" s="289">
        <v>500</v>
      </c>
    </row>
    <row r="457" spans="1:13" s="152" customFormat="1" ht="23.25" thickBot="1">
      <c r="A457" s="521"/>
      <c r="B457" s="153" t="s">
        <v>29</v>
      </c>
      <c r="C457" s="153" t="s">
        <v>30</v>
      </c>
      <c r="D457" s="153" t="s">
        <v>31</v>
      </c>
      <c r="E457" s="527" t="s">
        <v>32</v>
      </c>
      <c r="F457" s="527"/>
      <c r="G457" s="529"/>
      <c r="H457" s="530"/>
      <c r="I457" s="531"/>
      <c r="J457" s="131" t="s">
        <v>33</v>
      </c>
      <c r="K457" s="132"/>
      <c r="L457" s="90" t="s">
        <v>28</v>
      </c>
      <c r="M457" s="119">
        <v>450</v>
      </c>
    </row>
    <row r="458" spans="1:13" s="152" customFormat="1" ht="15.75" thickBot="1">
      <c r="A458" s="521"/>
      <c r="B458" s="283"/>
      <c r="C458" s="283"/>
      <c r="D458" s="283"/>
      <c r="E458" s="283"/>
      <c r="F458" s="283"/>
      <c r="G458" s="154"/>
      <c r="H458" s="155"/>
      <c r="I458" s="156"/>
      <c r="J458" s="131" t="s">
        <v>38</v>
      </c>
      <c r="K458" s="132"/>
      <c r="L458" s="90" t="s">
        <v>28</v>
      </c>
      <c r="M458" s="119">
        <v>150</v>
      </c>
    </row>
    <row r="459" spans="1:13" s="152" customFormat="1" ht="23.25" thickBot="1">
      <c r="A459" s="522"/>
      <c r="B459" s="133" t="s">
        <v>154</v>
      </c>
      <c r="C459" s="133" t="s">
        <v>225</v>
      </c>
      <c r="D459" s="83">
        <v>43315</v>
      </c>
      <c r="E459" s="84"/>
      <c r="F459" s="85" t="s">
        <v>679</v>
      </c>
      <c r="G459" s="532"/>
      <c r="H459" s="533"/>
      <c r="I459" s="534"/>
      <c r="J459" s="131" t="s">
        <v>127</v>
      </c>
      <c r="K459" s="132"/>
      <c r="L459" s="90" t="s">
        <v>28</v>
      </c>
      <c r="M459" s="293">
        <v>100</v>
      </c>
    </row>
    <row r="460" spans="1:13" s="152" customFormat="1" ht="24" customHeight="1" thickTop="1" thickBot="1">
      <c r="A460" s="518">
        <f>A459+100</f>
        <v>100</v>
      </c>
      <c r="B460" s="237" t="s">
        <v>19</v>
      </c>
      <c r="C460" s="237" t="s">
        <v>20</v>
      </c>
      <c r="D460" s="237" t="s">
        <v>21</v>
      </c>
      <c r="E460" s="535" t="s">
        <v>22</v>
      </c>
      <c r="F460" s="535"/>
      <c r="G460" s="535" t="s">
        <v>12</v>
      </c>
      <c r="H460" s="536"/>
      <c r="I460" s="238"/>
      <c r="J460" s="239" t="s">
        <v>39</v>
      </c>
      <c r="K460" s="240"/>
      <c r="L460" s="240"/>
      <c r="M460" s="241"/>
    </row>
    <row r="461" spans="1:13" s="152" customFormat="1" ht="23.25" thickBot="1">
      <c r="A461" s="521"/>
      <c r="B461" s="92" t="s">
        <v>680</v>
      </c>
      <c r="C461" s="92" t="s">
        <v>681</v>
      </c>
      <c r="D461" s="129">
        <v>43322</v>
      </c>
      <c r="E461" s="92"/>
      <c r="F461" s="92" t="s">
        <v>682</v>
      </c>
      <c r="G461" s="524" t="s">
        <v>683</v>
      </c>
      <c r="H461" s="537"/>
      <c r="I461" s="526"/>
      <c r="J461" s="130" t="s">
        <v>27</v>
      </c>
      <c r="K461" s="130"/>
      <c r="L461" s="87" t="s">
        <v>28</v>
      </c>
      <c r="M461" s="88">
        <v>400</v>
      </c>
    </row>
    <row r="462" spans="1:13" s="152" customFormat="1" ht="23.25" thickBot="1">
      <c r="A462" s="521"/>
      <c r="B462" s="93" t="s">
        <v>29</v>
      </c>
      <c r="C462" s="93" t="s">
        <v>30</v>
      </c>
      <c r="D462" s="93" t="s">
        <v>31</v>
      </c>
      <c r="E462" s="538" t="s">
        <v>32</v>
      </c>
      <c r="F462" s="538"/>
      <c r="G462" s="529"/>
      <c r="H462" s="530"/>
      <c r="I462" s="531"/>
      <c r="J462" s="131" t="s">
        <v>684</v>
      </c>
      <c r="K462" s="132"/>
      <c r="L462" s="90" t="s">
        <v>28</v>
      </c>
      <c r="M462" s="119">
        <v>289</v>
      </c>
    </row>
    <row r="463" spans="1:13" s="152" customFormat="1" ht="15.75" thickBot="1">
      <c r="A463" s="521"/>
      <c r="B463" s="742" t="s">
        <v>685</v>
      </c>
      <c r="C463" s="243"/>
      <c r="D463" s="243"/>
      <c r="E463" s="243"/>
      <c r="F463" s="243"/>
      <c r="G463" s="154"/>
      <c r="H463" s="155"/>
      <c r="I463" s="156"/>
      <c r="J463" s="131" t="s">
        <v>38</v>
      </c>
      <c r="K463" s="132"/>
      <c r="L463" s="90" t="s">
        <v>28</v>
      </c>
      <c r="M463" s="119">
        <v>200</v>
      </c>
    </row>
    <row r="464" spans="1:13" s="152" customFormat="1" ht="23.25" thickBot="1">
      <c r="A464" s="522"/>
      <c r="B464" s="692"/>
      <c r="C464" s="206" t="s">
        <v>683</v>
      </c>
      <c r="D464" s="207">
        <v>43323</v>
      </c>
      <c r="E464" s="208"/>
      <c r="F464" s="209" t="s">
        <v>686</v>
      </c>
      <c r="G464" s="595"/>
      <c r="H464" s="596"/>
      <c r="I464" s="597"/>
      <c r="J464" s="210" t="s">
        <v>127</v>
      </c>
      <c r="K464" s="274"/>
      <c r="L464" s="211" t="s">
        <v>28</v>
      </c>
      <c r="M464" s="286">
        <v>100</v>
      </c>
    </row>
    <row r="465" spans="12:13" ht="15.75" thickTop="1"/>
    <row r="471" spans="12:13" ht="15.75" thickBot="1"/>
    <row r="472" spans="12:13">
      <c r="L472" s="434" t="s">
        <v>1500</v>
      </c>
      <c r="M472" s="439"/>
    </row>
    <row r="473" spans="12:13">
      <c r="L473" s="437"/>
      <c r="M473" s="440"/>
    </row>
    <row r="474" spans="12:13" ht="45">
      <c r="L474" s="435" t="b">
        <v>0</v>
      </c>
      <c r="M474" s="441" t="s">
        <v>1501</v>
      </c>
    </row>
    <row r="475" spans="12:13" ht="45">
      <c r="L475" s="435" t="b">
        <v>1</v>
      </c>
      <c r="M475" s="441" t="s">
        <v>1502</v>
      </c>
    </row>
    <row r="476" spans="12:13">
      <c r="L476" s="435" t="b">
        <v>0</v>
      </c>
      <c r="M476" s="440"/>
    </row>
    <row r="477" spans="12:13" ht="15.75" thickBot="1">
      <c r="L477" s="436">
        <v>1</v>
      </c>
      <c r="M477" s="438"/>
    </row>
  </sheetData>
  <mergeCells count="756">
    <mergeCell ref="A455:A459"/>
    <mergeCell ref="E455:F455"/>
    <mergeCell ref="G455:H455"/>
    <mergeCell ref="G456:I456"/>
    <mergeCell ref="E457:F457"/>
    <mergeCell ref="G457:I457"/>
    <mergeCell ref="G459:I459"/>
    <mergeCell ref="A460:A464"/>
    <mergeCell ref="E460:F460"/>
    <mergeCell ref="G460:H460"/>
    <mergeCell ref="G461:I461"/>
    <mergeCell ref="E462:F462"/>
    <mergeCell ref="G462:I462"/>
    <mergeCell ref="B463:B464"/>
    <mergeCell ref="G464:I464"/>
    <mergeCell ref="A449:A454"/>
    <mergeCell ref="E449:F449"/>
    <mergeCell ref="G449:H449"/>
    <mergeCell ref="G450:I450"/>
    <mergeCell ref="E451:F451"/>
    <mergeCell ref="G451:I451"/>
    <mergeCell ref="B452:B454"/>
    <mergeCell ref="C452:C454"/>
    <mergeCell ref="D452:D454"/>
    <mergeCell ref="F452:F454"/>
    <mergeCell ref="G454:I454"/>
    <mergeCell ref="A441:A444"/>
    <mergeCell ref="E441:F441"/>
    <mergeCell ref="G441:H441"/>
    <mergeCell ref="G442:I442"/>
    <mergeCell ref="E443:F443"/>
    <mergeCell ref="G443:I443"/>
    <mergeCell ref="G444:I444"/>
    <mergeCell ref="A445:A448"/>
    <mergeCell ref="E445:F445"/>
    <mergeCell ref="G445:H445"/>
    <mergeCell ref="G446:I446"/>
    <mergeCell ref="E447:F447"/>
    <mergeCell ref="G447:I447"/>
    <mergeCell ref="A435:A440"/>
    <mergeCell ref="E435:F435"/>
    <mergeCell ref="G435:H435"/>
    <mergeCell ref="G436:I436"/>
    <mergeCell ref="E437:F437"/>
    <mergeCell ref="G437:I437"/>
    <mergeCell ref="B438:B440"/>
    <mergeCell ref="C438:C440"/>
    <mergeCell ref="D438:D440"/>
    <mergeCell ref="F438:F440"/>
    <mergeCell ref="G440:I440"/>
    <mergeCell ref="A426:A429"/>
    <mergeCell ref="E426:F426"/>
    <mergeCell ref="G426:H426"/>
    <mergeCell ref="G427:I427"/>
    <mergeCell ref="E428:F428"/>
    <mergeCell ref="G428:I428"/>
    <mergeCell ref="A430:A434"/>
    <mergeCell ref="E430:F430"/>
    <mergeCell ref="G430:H430"/>
    <mergeCell ref="G431:I431"/>
    <mergeCell ref="E432:F432"/>
    <mergeCell ref="G432:I432"/>
    <mergeCell ref="B433:B434"/>
    <mergeCell ref="C433:C434"/>
    <mergeCell ref="D433:D434"/>
    <mergeCell ref="F433:F434"/>
    <mergeCell ref="G434:I434"/>
    <mergeCell ref="G416:H416"/>
    <mergeCell ref="E418:F418"/>
    <mergeCell ref="G418:I418"/>
    <mergeCell ref="B419:B421"/>
    <mergeCell ref="C419:C421"/>
    <mergeCell ref="D419:D421"/>
    <mergeCell ref="F419:F421"/>
    <mergeCell ref="G421:I421"/>
    <mergeCell ref="A422:A425"/>
    <mergeCell ref="E422:F422"/>
    <mergeCell ref="G422:H422"/>
    <mergeCell ref="G423:I423"/>
    <mergeCell ref="E424:F424"/>
    <mergeCell ref="G424:I424"/>
    <mergeCell ref="E416:F416"/>
    <mergeCell ref="G417:I417"/>
    <mergeCell ref="B408:B410"/>
    <mergeCell ref="C408:C410"/>
    <mergeCell ref="D408:D410"/>
    <mergeCell ref="F408:F410"/>
    <mergeCell ref="G410:I410"/>
    <mergeCell ref="A411:A415"/>
    <mergeCell ref="E411:F411"/>
    <mergeCell ref="G411:H411"/>
    <mergeCell ref="E413:F413"/>
    <mergeCell ref="B414:B415"/>
    <mergeCell ref="C414:C415"/>
    <mergeCell ref="D414:D415"/>
    <mergeCell ref="F414:F415"/>
    <mergeCell ref="G412:I412"/>
    <mergeCell ref="G413:I413"/>
    <mergeCell ref="G415:I415"/>
    <mergeCell ref="B388:B389"/>
    <mergeCell ref="C388:C389"/>
    <mergeCell ref="D388:D389"/>
    <mergeCell ref="F388:F389"/>
    <mergeCell ref="A390:A394"/>
    <mergeCell ref="G394:I394"/>
    <mergeCell ref="A395:A399"/>
    <mergeCell ref="E395:F395"/>
    <mergeCell ref="G395:H395"/>
    <mergeCell ref="E397:F397"/>
    <mergeCell ref="E392:F392"/>
    <mergeCell ref="G392:I392"/>
    <mergeCell ref="G396:I396"/>
    <mergeCell ref="G397:I397"/>
    <mergeCell ref="G399:I399"/>
    <mergeCell ref="B373:B374"/>
    <mergeCell ref="C373:C374"/>
    <mergeCell ref="D373:D374"/>
    <mergeCell ref="F373:F374"/>
    <mergeCell ref="A375:A380"/>
    <mergeCell ref="E375:F375"/>
    <mergeCell ref="G375:H375"/>
    <mergeCell ref="E377:F377"/>
    <mergeCell ref="G377:I380"/>
    <mergeCell ref="B378:B380"/>
    <mergeCell ref="C378:C380"/>
    <mergeCell ref="D378:D380"/>
    <mergeCell ref="F378:F380"/>
    <mergeCell ref="B350:B351"/>
    <mergeCell ref="C350:C351"/>
    <mergeCell ref="D350:D351"/>
    <mergeCell ref="F350:F351"/>
    <mergeCell ref="A352:A355"/>
    <mergeCell ref="G352:H352"/>
    <mergeCell ref="G354:I354"/>
    <mergeCell ref="A356:A360"/>
    <mergeCell ref="G356:H356"/>
    <mergeCell ref="G358:I358"/>
    <mergeCell ref="B359:B360"/>
    <mergeCell ref="C359:C360"/>
    <mergeCell ref="D359:D360"/>
    <mergeCell ref="F359:F360"/>
    <mergeCell ref="G359:I360"/>
    <mergeCell ref="E352:F352"/>
    <mergeCell ref="G353:I353"/>
    <mergeCell ref="E354:F354"/>
    <mergeCell ref="G355:I355"/>
    <mergeCell ref="E356:F356"/>
    <mergeCell ref="G357:I357"/>
    <mergeCell ref="E358:F358"/>
    <mergeCell ref="E283:F283"/>
    <mergeCell ref="G283:H283"/>
    <mergeCell ref="E285:F285"/>
    <mergeCell ref="G286:I286"/>
    <mergeCell ref="A287:A290"/>
    <mergeCell ref="E287:F287"/>
    <mergeCell ref="G287:H287"/>
    <mergeCell ref="E289:F289"/>
    <mergeCell ref="G290:I290"/>
    <mergeCell ref="G284:I284"/>
    <mergeCell ref="G285:I285"/>
    <mergeCell ref="G288:I288"/>
    <mergeCell ref="G289:I289"/>
    <mergeCell ref="E273:F273"/>
    <mergeCell ref="G274:I274"/>
    <mergeCell ref="G273:I273"/>
    <mergeCell ref="A275:A278"/>
    <mergeCell ref="E275:F275"/>
    <mergeCell ref="G275:H275"/>
    <mergeCell ref="E277:F277"/>
    <mergeCell ref="G278:I278"/>
    <mergeCell ref="A279:A282"/>
    <mergeCell ref="E279:F279"/>
    <mergeCell ref="G279:H279"/>
    <mergeCell ref="E281:F281"/>
    <mergeCell ref="G282:I282"/>
    <mergeCell ref="G276:I276"/>
    <mergeCell ref="G277:I277"/>
    <mergeCell ref="G280:I280"/>
    <mergeCell ref="G281:I281"/>
    <mergeCell ref="E217:F217"/>
    <mergeCell ref="G217:H217"/>
    <mergeCell ref="G218:I218"/>
    <mergeCell ref="E219:F219"/>
    <mergeCell ref="G222:I222"/>
    <mergeCell ref="A223:A226"/>
    <mergeCell ref="E223:F223"/>
    <mergeCell ref="G223:H223"/>
    <mergeCell ref="E225:F225"/>
    <mergeCell ref="G226:I226"/>
    <mergeCell ref="G219:I219"/>
    <mergeCell ref="G224:I224"/>
    <mergeCell ref="G225:I225"/>
    <mergeCell ref="G204:H204"/>
    <mergeCell ref="G206:I206"/>
    <mergeCell ref="A208:A212"/>
    <mergeCell ref="G208:H208"/>
    <mergeCell ref="G210:I210"/>
    <mergeCell ref="A213:A216"/>
    <mergeCell ref="E213:F213"/>
    <mergeCell ref="G213:H213"/>
    <mergeCell ref="G214:I214"/>
    <mergeCell ref="E215:F215"/>
    <mergeCell ref="E204:F204"/>
    <mergeCell ref="G205:I205"/>
    <mergeCell ref="E206:F206"/>
    <mergeCell ref="G207:I207"/>
    <mergeCell ref="E208:F208"/>
    <mergeCell ref="G209:I209"/>
    <mergeCell ref="E210:F210"/>
    <mergeCell ref="G212:I212"/>
    <mergeCell ref="G215:I215"/>
    <mergeCell ref="G216:I216"/>
    <mergeCell ref="G198:I198"/>
    <mergeCell ref="A199:A203"/>
    <mergeCell ref="E199:F199"/>
    <mergeCell ref="G199:H199"/>
    <mergeCell ref="E201:F201"/>
    <mergeCell ref="G193:I193"/>
    <mergeCell ref="E194:F194"/>
    <mergeCell ref="G194:H194"/>
    <mergeCell ref="G195:I195"/>
    <mergeCell ref="E196:F196"/>
    <mergeCell ref="G196:I196"/>
    <mergeCell ref="G200:I200"/>
    <mergeCell ref="G201:I201"/>
    <mergeCell ref="G203:I203"/>
    <mergeCell ref="A144:A149"/>
    <mergeCell ref="G144:H144"/>
    <mergeCell ref="G146:I146"/>
    <mergeCell ref="A150:A154"/>
    <mergeCell ref="G154:I154"/>
    <mergeCell ref="A155:A158"/>
    <mergeCell ref="E155:F155"/>
    <mergeCell ref="G155:H155"/>
    <mergeCell ref="E157:F157"/>
    <mergeCell ref="G158:I158"/>
    <mergeCell ref="E144:F144"/>
    <mergeCell ref="G145:I145"/>
    <mergeCell ref="E146:F146"/>
    <mergeCell ref="G149:I149"/>
    <mergeCell ref="E150:F150"/>
    <mergeCell ref="G150:H150"/>
    <mergeCell ref="G151:I151"/>
    <mergeCell ref="E152:F152"/>
    <mergeCell ref="G152:I152"/>
    <mergeCell ref="G156:I156"/>
    <mergeCell ref="G157:I157"/>
    <mergeCell ref="A135:A138"/>
    <mergeCell ref="E135:F135"/>
    <mergeCell ref="G135:H135"/>
    <mergeCell ref="E137:F137"/>
    <mergeCell ref="G138:I138"/>
    <mergeCell ref="A139:A143"/>
    <mergeCell ref="E139:F139"/>
    <mergeCell ref="G139:H139"/>
    <mergeCell ref="E141:F141"/>
    <mergeCell ref="G136:I136"/>
    <mergeCell ref="G137:I137"/>
    <mergeCell ref="G140:I140"/>
    <mergeCell ref="G141:I141"/>
    <mergeCell ref="G143:I143"/>
    <mergeCell ref="A127:A130"/>
    <mergeCell ref="E127:F127"/>
    <mergeCell ref="G127:H127"/>
    <mergeCell ref="E129:F129"/>
    <mergeCell ref="G130:I130"/>
    <mergeCell ref="A131:A134"/>
    <mergeCell ref="E131:F131"/>
    <mergeCell ref="G131:H131"/>
    <mergeCell ref="E133:F133"/>
    <mergeCell ref="G134:I134"/>
    <mergeCell ref="G128:I128"/>
    <mergeCell ref="G129:I129"/>
    <mergeCell ref="G132:I132"/>
    <mergeCell ref="G133:I133"/>
    <mergeCell ref="A119:A122"/>
    <mergeCell ref="E119:F119"/>
    <mergeCell ref="E121:F121"/>
    <mergeCell ref="G121:I122"/>
    <mergeCell ref="A123:A126"/>
    <mergeCell ref="E123:F123"/>
    <mergeCell ref="G123:H123"/>
    <mergeCell ref="E125:F125"/>
    <mergeCell ref="G126:I126"/>
    <mergeCell ref="G119:I119"/>
    <mergeCell ref="G120:I120"/>
    <mergeCell ref="G124:I124"/>
    <mergeCell ref="G125:I125"/>
    <mergeCell ref="A111:A114"/>
    <mergeCell ref="E111:F111"/>
    <mergeCell ref="G111:H111"/>
    <mergeCell ref="E113:F113"/>
    <mergeCell ref="G114:I114"/>
    <mergeCell ref="A115:A118"/>
    <mergeCell ref="E115:F115"/>
    <mergeCell ref="G115:H115"/>
    <mergeCell ref="E117:F117"/>
    <mergeCell ref="G118:I118"/>
    <mergeCell ref="G112:I112"/>
    <mergeCell ref="G113:I113"/>
    <mergeCell ref="G116:I116"/>
    <mergeCell ref="G117:I117"/>
    <mergeCell ref="A103:A106"/>
    <mergeCell ref="E103:F103"/>
    <mergeCell ref="G103:H103"/>
    <mergeCell ref="E105:F105"/>
    <mergeCell ref="G106:I106"/>
    <mergeCell ref="A107:A110"/>
    <mergeCell ref="E107:F107"/>
    <mergeCell ref="G107:H107"/>
    <mergeCell ref="E109:F109"/>
    <mergeCell ref="G110:I110"/>
    <mergeCell ref="G104:I104"/>
    <mergeCell ref="G105:I105"/>
    <mergeCell ref="G108:I108"/>
    <mergeCell ref="G109:I109"/>
    <mergeCell ref="A95:A98"/>
    <mergeCell ref="E95:F95"/>
    <mergeCell ref="G95:H95"/>
    <mergeCell ref="E97:F97"/>
    <mergeCell ref="G98:I98"/>
    <mergeCell ref="A99:A102"/>
    <mergeCell ref="E99:F99"/>
    <mergeCell ref="G99:H99"/>
    <mergeCell ref="E101:F101"/>
    <mergeCell ref="G102:I102"/>
    <mergeCell ref="G96:I96"/>
    <mergeCell ref="G97:I97"/>
    <mergeCell ref="G100:I100"/>
    <mergeCell ref="G101:I101"/>
    <mergeCell ref="A87:A90"/>
    <mergeCell ref="E87:F87"/>
    <mergeCell ref="G87:H87"/>
    <mergeCell ref="E89:F89"/>
    <mergeCell ref="G90:I90"/>
    <mergeCell ref="A91:A94"/>
    <mergeCell ref="E91:F91"/>
    <mergeCell ref="G91:H91"/>
    <mergeCell ref="E93:F93"/>
    <mergeCell ref="G94:I94"/>
    <mergeCell ref="G88:I88"/>
    <mergeCell ref="G89:I89"/>
    <mergeCell ref="G92:I92"/>
    <mergeCell ref="G93:I93"/>
    <mergeCell ref="A79:A82"/>
    <mergeCell ref="E79:F79"/>
    <mergeCell ref="G79:H79"/>
    <mergeCell ref="E81:F81"/>
    <mergeCell ref="G82:I82"/>
    <mergeCell ref="A83:A86"/>
    <mergeCell ref="E83:F83"/>
    <mergeCell ref="G83:H83"/>
    <mergeCell ref="E85:F85"/>
    <mergeCell ref="G86:I86"/>
    <mergeCell ref="G80:I80"/>
    <mergeCell ref="G81:I81"/>
    <mergeCell ref="G84:I84"/>
    <mergeCell ref="G85:I85"/>
    <mergeCell ref="E71:F71"/>
    <mergeCell ref="G71:H71"/>
    <mergeCell ref="E73:F73"/>
    <mergeCell ref="G74:I74"/>
    <mergeCell ref="A75:A78"/>
    <mergeCell ref="E75:F75"/>
    <mergeCell ref="G75:H75"/>
    <mergeCell ref="E77:F77"/>
    <mergeCell ref="G78:I78"/>
    <mergeCell ref="G72:I72"/>
    <mergeCell ref="G73:I73"/>
    <mergeCell ref="A47:A50"/>
    <mergeCell ref="E47:F47"/>
    <mergeCell ref="E49:F49"/>
    <mergeCell ref="G49:I50"/>
    <mergeCell ref="A51:A54"/>
    <mergeCell ref="E51:F51"/>
    <mergeCell ref="E53:F53"/>
    <mergeCell ref="G53:I54"/>
    <mergeCell ref="A55:A58"/>
    <mergeCell ref="E55:F55"/>
    <mergeCell ref="G55:H55"/>
    <mergeCell ref="E57:F57"/>
    <mergeCell ref="G58:I58"/>
    <mergeCell ref="G56:I56"/>
    <mergeCell ref="G57:I57"/>
    <mergeCell ref="G51:I51"/>
    <mergeCell ref="G52:I52"/>
    <mergeCell ref="E43:F43"/>
    <mergeCell ref="G43:H43"/>
    <mergeCell ref="E45:F45"/>
    <mergeCell ref="G46:I46"/>
    <mergeCell ref="G44:I44"/>
    <mergeCell ref="G45:I45"/>
    <mergeCell ref="G36:I36"/>
    <mergeCell ref="G37:I37"/>
    <mergeCell ref="E38:F38"/>
    <mergeCell ref="G38:H38"/>
    <mergeCell ref="G39:I39"/>
    <mergeCell ref="E40:F40"/>
    <mergeCell ref="G40:I40"/>
    <mergeCell ref="K9:K11"/>
    <mergeCell ref="K12:K13"/>
    <mergeCell ref="L9:M11"/>
    <mergeCell ref="L12:L13"/>
    <mergeCell ref="M12:M13"/>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G18:I18"/>
    <mergeCell ref="G19:I19"/>
    <mergeCell ref="A14:A17"/>
    <mergeCell ref="E14:F14"/>
    <mergeCell ref="G14:H14"/>
    <mergeCell ref="G15:I15"/>
    <mergeCell ref="E16:F16"/>
    <mergeCell ref="G16:I16"/>
    <mergeCell ref="G17:I17"/>
    <mergeCell ref="E19:F19"/>
    <mergeCell ref="G20:I20"/>
    <mergeCell ref="A21:A24"/>
    <mergeCell ref="E21:F21"/>
    <mergeCell ref="G21:I21"/>
    <mergeCell ref="G22:I22"/>
    <mergeCell ref="E23:F23"/>
    <mergeCell ref="G23:I24"/>
    <mergeCell ref="G47:I47"/>
    <mergeCell ref="G48:I48"/>
    <mergeCell ref="G27:I27"/>
    <mergeCell ref="G28:I28"/>
    <mergeCell ref="A34:A37"/>
    <mergeCell ref="E34:F34"/>
    <mergeCell ref="G34:H34"/>
    <mergeCell ref="G35:I35"/>
    <mergeCell ref="E36:F36"/>
    <mergeCell ref="A25:A28"/>
    <mergeCell ref="E25:F25"/>
    <mergeCell ref="G25:H25"/>
    <mergeCell ref="G26:I26"/>
    <mergeCell ref="E27:F27"/>
    <mergeCell ref="A38:A42"/>
    <mergeCell ref="G42:I42"/>
    <mergeCell ref="A43:A46"/>
    <mergeCell ref="G60:I60"/>
    <mergeCell ref="G61:I61"/>
    <mergeCell ref="A59:A62"/>
    <mergeCell ref="E59:F59"/>
    <mergeCell ref="G59:H59"/>
    <mergeCell ref="E61:F61"/>
    <mergeCell ref="G62:I62"/>
    <mergeCell ref="G76:I76"/>
    <mergeCell ref="G77:I77"/>
    <mergeCell ref="G68:I68"/>
    <mergeCell ref="G69:I69"/>
    <mergeCell ref="A63:A66"/>
    <mergeCell ref="E63:F63"/>
    <mergeCell ref="G63:H63"/>
    <mergeCell ref="E65:F65"/>
    <mergeCell ref="G66:I66"/>
    <mergeCell ref="A67:A70"/>
    <mergeCell ref="E67:F67"/>
    <mergeCell ref="G67:H67"/>
    <mergeCell ref="E69:F69"/>
    <mergeCell ref="G70:I70"/>
    <mergeCell ref="G64:I64"/>
    <mergeCell ref="G65:I65"/>
    <mergeCell ref="A71:A74"/>
    <mergeCell ref="G160:I160"/>
    <mergeCell ref="G161:I161"/>
    <mergeCell ref="E159:F159"/>
    <mergeCell ref="G159:H159"/>
    <mergeCell ref="E161:F161"/>
    <mergeCell ref="G162:I162"/>
    <mergeCell ref="E163:F163"/>
    <mergeCell ref="G163:H163"/>
    <mergeCell ref="G164:I164"/>
    <mergeCell ref="G165:I165"/>
    <mergeCell ref="G168:I168"/>
    <mergeCell ref="G169:I169"/>
    <mergeCell ref="E165:F165"/>
    <mergeCell ref="G166:I166"/>
    <mergeCell ref="E167:F167"/>
    <mergeCell ref="G167:H167"/>
    <mergeCell ref="E169:F169"/>
    <mergeCell ref="G172:I172"/>
    <mergeCell ref="G173:I173"/>
    <mergeCell ref="G170:I170"/>
    <mergeCell ref="E171:F171"/>
    <mergeCell ref="G171:H171"/>
    <mergeCell ref="E173:F173"/>
    <mergeCell ref="G174:I174"/>
    <mergeCell ref="E175:F175"/>
    <mergeCell ref="G175:H175"/>
    <mergeCell ref="G176:I176"/>
    <mergeCell ref="G177:I177"/>
    <mergeCell ref="G180:I180"/>
    <mergeCell ref="G181:I181"/>
    <mergeCell ref="E177:F177"/>
    <mergeCell ref="G178:I178"/>
    <mergeCell ref="E179:F179"/>
    <mergeCell ref="G179:H179"/>
    <mergeCell ref="E181:F181"/>
    <mergeCell ref="G184:I184"/>
    <mergeCell ref="G185:I185"/>
    <mergeCell ref="G187:I187"/>
    <mergeCell ref="G182:I182"/>
    <mergeCell ref="E183:F183"/>
    <mergeCell ref="G183:H183"/>
    <mergeCell ref="E185:F185"/>
    <mergeCell ref="E188:F188"/>
    <mergeCell ref="G189:I189"/>
    <mergeCell ref="E190:F190"/>
    <mergeCell ref="G188:H188"/>
    <mergeCell ref="G190:I190"/>
    <mergeCell ref="G228:I228"/>
    <mergeCell ref="G229:I229"/>
    <mergeCell ref="E227:F227"/>
    <mergeCell ref="G227:H227"/>
    <mergeCell ref="E229:F229"/>
    <mergeCell ref="G231:I231"/>
    <mergeCell ref="E232:F232"/>
    <mergeCell ref="G233:I233"/>
    <mergeCell ref="E234:F234"/>
    <mergeCell ref="G235:I235"/>
    <mergeCell ref="G232:H232"/>
    <mergeCell ref="G234:I234"/>
    <mergeCell ref="E236:F236"/>
    <mergeCell ref="G237:I237"/>
    <mergeCell ref="E238:F238"/>
    <mergeCell ref="G239:I239"/>
    <mergeCell ref="E240:F240"/>
    <mergeCell ref="G241:I241"/>
    <mergeCell ref="G236:H236"/>
    <mergeCell ref="G238:I238"/>
    <mergeCell ref="G240:H240"/>
    <mergeCell ref="E242:F242"/>
    <mergeCell ref="G243:I243"/>
    <mergeCell ref="E244:F244"/>
    <mergeCell ref="G245:I245"/>
    <mergeCell ref="E246:F246"/>
    <mergeCell ref="G242:I242"/>
    <mergeCell ref="G244:H244"/>
    <mergeCell ref="G246:I246"/>
    <mergeCell ref="G248:I248"/>
    <mergeCell ref="G251:I251"/>
    <mergeCell ref="G253:I253"/>
    <mergeCell ref="E249:F249"/>
    <mergeCell ref="G249:H249"/>
    <mergeCell ref="G250:I250"/>
    <mergeCell ref="E251:F251"/>
    <mergeCell ref="E254:F254"/>
    <mergeCell ref="G254:H254"/>
    <mergeCell ref="G255:I255"/>
    <mergeCell ref="E256:F256"/>
    <mergeCell ref="G256:I256"/>
    <mergeCell ref="G257:I257"/>
    <mergeCell ref="E258:F258"/>
    <mergeCell ref="G258:H258"/>
    <mergeCell ref="G259:I259"/>
    <mergeCell ref="E260:F260"/>
    <mergeCell ref="G260:I260"/>
    <mergeCell ref="G261:I261"/>
    <mergeCell ref="E262:F262"/>
    <mergeCell ref="G262:H262"/>
    <mergeCell ref="G263:I263"/>
    <mergeCell ref="E264:F264"/>
    <mergeCell ref="G264:I264"/>
    <mergeCell ref="G268:I268"/>
    <mergeCell ref="G269:I269"/>
    <mergeCell ref="G266:I266"/>
    <mergeCell ref="G272:I272"/>
    <mergeCell ref="E267:F267"/>
    <mergeCell ref="G267:H267"/>
    <mergeCell ref="E269:F269"/>
    <mergeCell ref="G270:I270"/>
    <mergeCell ref="E271:F271"/>
    <mergeCell ref="G271:H271"/>
    <mergeCell ref="G292:I292"/>
    <mergeCell ref="G293:I293"/>
    <mergeCell ref="E291:F291"/>
    <mergeCell ref="G291:H291"/>
    <mergeCell ref="E293:F293"/>
    <mergeCell ref="G294:I294"/>
    <mergeCell ref="E295:F295"/>
    <mergeCell ref="G295:H295"/>
    <mergeCell ref="G296:I296"/>
    <mergeCell ref="G297:I297"/>
    <mergeCell ref="G299:I299"/>
    <mergeCell ref="G300:I300"/>
    <mergeCell ref="E297:F297"/>
    <mergeCell ref="G298:I298"/>
    <mergeCell ref="E299:F299"/>
    <mergeCell ref="E301:F301"/>
    <mergeCell ref="G301:I303"/>
    <mergeCell ref="E304:F304"/>
    <mergeCell ref="G305:I305"/>
    <mergeCell ref="E306:F306"/>
    <mergeCell ref="G304:H304"/>
    <mergeCell ref="G306:I306"/>
    <mergeCell ref="G308:I308"/>
    <mergeCell ref="G311:I311"/>
    <mergeCell ref="G312:I312"/>
    <mergeCell ref="E309:F309"/>
    <mergeCell ref="G309:H309"/>
    <mergeCell ref="G310:I310"/>
    <mergeCell ref="E311:F311"/>
    <mergeCell ref="E313:F313"/>
    <mergeCell ref="G313:H313"/>
    <mergeCell ref="G315:I315"/>
    <mergeCell ref="G317:I317"/>
    <mergeCell ref="E318:F318"/>
    <mergeCell ref="G318:H318"/>
    <mergeCell ref="G319:I319"/>
    <mergeCell ref="G314:I314"/>
    <mergeCell ref="E315:F315"/>
    <mergeCell ref="E320:F320"/>
    <mergeCell ref="G320:I320"/>
    <mergeCell ref="G324:I324"/>
    <mergeCell ref="G325:I325"/>
    <mergeCell ref="G322:I322"/>
    <mergeCell ref="E323:F323"/>
    <mergeCell ref="G323:H323"/>
    <mergeCell ref="E325:F325"/>
    <mergeCell ref="G328:I328"/>
    <mergeCell ref="G329:I329"/>
    <mergeCell ref="G331:I331"/>
    <mergeCell ref="G326:I326"/>
    <mergeCell ref="E327:F327"/>
    <mergeCell ref="G327:H327"/>
    <mergeCell ref="E329:F329"/>
    <mergeCell ref="G330:I330"/>
    <mergeCell ref="E331:F331"/>
    <mergeCell ref="G332:I332"/>
    <mergeCell ref="G336:I336"/>
    <mergeCell ref="G337:I337"/>
    <mergeCell ref="E333:F333"/>
    <mergeCell ref="G333:I334"/>
    <mergeCell ref="E335:F335"/>
    <mergeCell ref="G335:H335"/>
    <mergeCell ref="E337:F337"/>
    <mergeCell ref="G340:I340"/>
    <mergeCell ref="G341:I341"/>
    <mergeCell ref="G338:I338"/>
    <mergeCell ref="E339:F339"/>
    <mergeCell ref="G339:H339"/>
    <mergeCell ref="E341:F341"/>
    <mergeCell ref="G342:I342"/>
    <mergeCell ref="E343:F343"/>
    <mergeCell ref="G343:H343"/>
    <mergeCell ref="G347:I347"/>
    <mergeCell ref="G348:I348"/>
    <mergeCell ref="G344:I346"/>
    <mergeCell ref="E345:F345"/>
    <mergeCell ref="E347:F347"/>
    <mergeCell ref="E349:F349"/>
    <mergeCell ref="G349:I351"/>
    <mergeCell ref="E361:F361"/>
    <mergeCell ref="G361:H361"/>
    <mergeCell ref="G363:I363"/>
    <mergeCell ref="G364:I364"/>
    <mergeCell ref="G367:I367"/>
    <mergeCell ref="G362:I362"/>
    <mergeCell ref="E363:F363"/>
    <mergeCell ref="E365:F365"/>
    <mergeCell ref="G365:H365"/>
    <mergeCell ref="G366:I366"/>
    <mergeCell ref="E367:F367"/>
    <mergeCell ref="E370:F370"/>
    <mergeCell ref="G370:H370"/>
    <mergeCell ref="G371:I371"/>
    <mergeCell ref="E372:F372"/>
    <mergeCell ref="G372:I374"/>
    <mergeCell ref="G376:I376"/>
    <mergeCell ref="G383:I383"/>
    <mergeCell ref="E381:F381"/>
    <mergeCell ref="G381:H381"/>
    <mergeCell ref="G382:I382"/>
    <mergeCell ref="E383:F383"/>
    <mergeCell ref="E385:F385"/>
    <mergeCell ref="G385:H385"/>
    <mergeCell ref="G387:I387"/>
    <mergeCell ref="G389:I389"/>
    <mergeCell ref="E390:F390"/>
    <mergeCell ref="G390:H390"/>
    <mergeCell ref="G391:I391"/>
    <mergeCell ref="G386:I386"/>
    <mergeCell ref="E387:F387"/>
    <mergeCell ref="E400:F400"/>
    <mergeCell ref="G401:I401"/>
    <mergeCell ref="E402:F402"/>
    <mergeCell ref="G400:H400"/>
    <mergeCell ref="G402:I402"/>
    <mergeCell ref="G404:I404"/>
    <mergeCell ref="G407:I407"/>
    <mergeCell ref="E405:F405"/>
    <mergeCell ref="G405:H405"/>
    <mergeCell ref="G406:I406"/>
    <mergeCell ref="E407:F407"/>
    <mergeCell ref="A159:A162"/>
    <mergeCell ref="A163:A166"/>
    <mergeCell ref="A167:A170"/>
    <mergeCell ref="A171:A174"/>
    <mergeCell ref="A175:A178"/>
    <mergeCell ref="A179:A182"/>
    <mergeCell ref="A183:A187"/>
    <mergeCell ref="A254:A257"/>
    <mergeCell ref="A258:A261"/>
    <mergeCell ref="A227:A231"/>
    <mergeCell ref="A232:A235"/>
    <mergeCell ref="A236:A239"/>
    <mergeCell ref="A240:A243"/>
    <mergeCell ref="A244:A248"/>
    <mergeCell ref="A249:A253"/>
    <mergeCell ref="A188:A193"/>
    <mergeCell ref="A194:A198"/>
    <mergeCell ref="A204:A207"/>
    <mergeCell ref="A217:A222"/>
    <mergeCell ref="A262:A266"/>
    <mergeCell ref="A291:A294"/>
    <mergeCell ref="A295:A298"/>
    <mergeCell ref="A299:A303"/>
    <mergeCell ref="A304:A308"/>
    <mergeCell ref="A309:A312"/>
    <mergeCell ref="A313:A317"/>
    <mergeCell ref="A318:A322"/>
    <mergeCell ref="A323:A326"/>
    <mergeCell ref="A267:A270"/>
    <mergeCell ref="A271:A274"/>
    <mergeCell ref="A283:A286"/>
    <mergeCell ref="A381:A384"/>
    <mergeCell ref="A385:A389"/>
    <mergeCell ref="A400:A404"/>
    <mergeCell ref="A405:A410"/>
    <mergeCell ref="A416:A421"/>
    <mergeCell ref="A327:A330"/>
    <mergeCell ref="A331:A334"/>
    <mergeCell ref="A335:A338"/>
    <mergeCell ref="A339:A342"/>
    <mergeCell ref="A343:A346"/>
    <mergeCell ref="A347:A351"/>
    <mergeCell ref="A361:A364"/>
    <mergeCell ref="A365:A369"/>
    <mergeCell ref="A370:A374"/>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F20"/>
    <dataValidation allowBlank="1" showInputMessage="1" showErrorMessage="1" promptTitle="Event Sponsor Example" prompt="Event Sponsor is listed here." sqref="C17 C20"/>
    <dataValidation allowBlank="1" showInputMessage="1" showErrorMessage="1" promptTitle="Traveler Title Example" prompt="Traveler Title is listed here." sqref="B17 B20"/>
    <dataValidation allowBlank="1" showInputMessage="1" showErrorMessage="1" promptTitle="Location Example" prompt="Location listed here." sqref="F15 F18"/>
    <dataValidation allowBlank="1" showInputMessage="1" showErrorMessage="1" promptTitle="Event Description Example" prompt="Event Description listed here._x000a_" sqref="C15 C18"/>
    <dataValidation allowBlank="1" showInputMessage="1" showErrorMessage="1" promptTitle="Traveler Name Example" prompt="Traveler Name Listed Here" sqref="B15 B18"/>
    <dataValidation type="date" allowBlank="1" showInputMessage="1" showErrorMessage="1" errorTitle="Data Entry Error" error="Please enter date using MM/DD/YYYY" promptTitle="Event Ending Date Example" prompt="Event ending date is listed here using the form MM/DD/YYYY." sqref="D17 D2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18">
      <formula1>40179</formula1>
      <formula2>73051</formula2>
    </dataValidation>
    <dataValidation allowBlank="1" showInputMessage="1" showErrorMessage="1" promptTitle="Benefit #3 Total Amount Example" prompt="The total amount of Benefit #3 is entered here." sqref="M17 M20"/>
    <dataValidation allowBlank="1" showInputMessage="1" showErrorMessage="1" promptTitle="Benefit #2 Total Amount Example" prompt="The total amount of Benefit #2 is entered here." sqref="M16 M19"/>
    <dataValidation allowBlank="1" showInputMessage="1" showErrorMessage="1" promptTitle="Payment #2-- Payment in-kind" prompt="If payment type for benefit #2 was in-kind, this box would contain an x." sqref="L16 L19"/>
    <dataValidation allowBlank="1" showInputMessage="1" showErrorMessage="1" promptTitle="Benefit #3-- Payment in-kind" prompt="Since the payment type for benefit #3 was in-kind, this box contains an x." sqref="L17 L20"/>
    <dataValidation allowBlank="1" showInputMessage="1" showErrorMessage="1" promptTitle="Benefit #3-- Payment by Check" prompt="If payment type for benefit #3 was by check, this box would contain an x." sqref="K17 K20"/>
    <dataValidation allowBlank="1" showInputMessage="1" showErrorMessage="1" promptTitle="Benefit #2-- Payment by Check" prompt="Since benefit #2 was paid by check, this box contains an x." sqref="K16 K19"/>
    <dataValidation allowBlank="1" showInputMessage="1" showErrorMessage="1" promptTitle="Benefit #3 Description Example" prompt="Benefit #3 description is listed here" sqref="J17 J20"/>
    <dataValidation allowBlank="1" showInputMessage="1" showErrorMessage="1" promptTitle="Benefit #2 Description Example" prompt="Benefit #2 description is listed here" sqref="J16 J19"/>
    <dataValidation allowBlank="1" showInputMessage="1" showErrorMessage="1" promptTitle="Benefit #1 Total Amount Example" prompt="The total amount of Benefit #1 is entered here." sqref="M15 M18"/>
    <dataValidation allowBlank="1" showInputMessage="1" showErrorMessage="1" promptTitle="Benefit #1-- Payment in-kind" prompt="Since the payment type for benefit #1 was in-kind, this box contains an x." sqref="L15 L18"/>
    <dataValidation allowBlank="1" showInputMessage="1" showErrorMessage="1" promptTitle="Benefit #1--Payment by Check" prompt="If payment type for benefit #1 was by check, this box would contain an x." sqref="K15 K18"/>
    <dataValidation allowBlank="1" showInputMessage="1" showErrorMessage="1" promptTitle="Benefit#1 Description Example" prompt="Benefit Description for Entry #1 is listed here." sqref="J15 J18"/>
    <dataValidation allowBlank="1" showInputMessage="1" showErrorMessage="1" promptTitle="Benefit Source" prompt="List the benefit source here." sqref="G15:I15 G17:I18 G48 G52 G259:I259 G261:I261 G28:I33 G26:I26 G22 G42:I42 G35:I35 G37:I37 G39:I39 G46:I46 G44:I44 G20:I20 G58:I58 G56:I56 G62:I62 G60:I60 G274:I274 G276:I276 G278:I278 G280:I280 G332 G340:I340 G266:I266 G344:I344 G245:I245 G248:I248 G250:I250 G253:I253 G66:I66 G64:I64 G70:I70 G68:I68 G74:I74 G72:I72 G78:I78 G76:I76 G82:I82 G80:I80 G86:I86 G84:I84 G118:I118 G100:I100 G116:I116 G120 G114:I114 G96:I96 G112:I112 G102:I102 G138:I138 G126:I126 G124:I124 G136:I136 G149:I149 G143:I143 G140:I140 G145:I145 G106:I106 G88:I88 G104:I104 G94:I94 G110:I110 G92:I92 G108:I108 G98:I98 G130:I130 G128:I128 G134:I134 G132:I132 G180:I180 G154:I154 G151:I151 G182:I182 G189:I189 G184:I184 G187:I187 G193:I193 G200:I200 G195:I195 G198:I198 G203:I203 G209:I209 G205:I205 G207:I207 G212:I212 G218:I218 G214:I214 G216:I216 G222:I222 G168:I168 G224:I224 G226:I226 G174:I174 G172:I172 G178:I178 G228:I228 G231:I231 G237:I237 G239:I239 G241:I241 G243:I243 G90:I90 G176:I176 G158:I158 G156:I156 G162:I162 G160:I160 G166:I166 G164:I164 G170:I170 G233:I233 G235:I235 G255:I255 G257:I257 G263:I263 G348 G355:I355 G353:I353 G386:I386 G394:I394 G268:I268 G292:I292 G270:I270 G294:I294 G296:I296 G298:I298 G305:I305 G308:I308 G290:I290 G300 G312:I312 G310:I310 G282:I282 G284:I284 G286:I286 G288:I288 G317:I317 G314:I314 G319:I319 G322:I322 G272:I272 G326:I326 G324:I324 G330:I330 G328:I328 G338:I338 G336:I336 G342:I342 G357:I357 G391:I391 G442:I442 G444:I444 G366:I366 G399:I399 G396:I396 G362:I362 G364:I364 G431:I431 G434:I434 G440:I440 G436:I436 G446:I446 G371:I371 G376:I376 G382:I382 G404:I404 G401:I401 G410:I410 G406:I406 G412:I412 G415:I415 G421:I421 G417:I417 G423:I423 G427:I427 G389:I389 G450:I450 G454:I454 G461:I461 G459:I459 G456:I456 G464:I464"/>
    <dataValidation allowBlank="1" showInputMessage="1" showErrorMessage="1" promptTitle="Benefit #3- Payment in-kind" prompt="If there is a benefit #3 and it was paid in-kind, mark this box with an  x._x000a_" sqref="L24 L54 L261 L28:L33 L37 L42 L46 L50 L58 L62 L278 L282 L346 L266 L248 L253 L66 L70 L74 L78 L82 L86 L118 L122 L114 L102 L126 L138 L143 L149 L106 L94 L110 L98 L130 L134 L154 L182 L187 L193 L198 L203 L207 L212 L216 L222 L226 L174 L178 L231 L239 L243 L90 L158 L162 L166 L170 L235 L257 L351 L355 L399 L270 L294 L298 L308 L303 L312 L286 L290 L317 L322 L274 L326 L330 L334 L338 L342 L359:L360 L389 L444 L394 L364 L434 L440 L374 L380 L404 L410 L415 L421 L454 L459 L464"/>
    <dataValidation allowBlank="1" showInputMessage="1" showErrorMessage="1" promptTitle="Benefit #2- Payment in-kind" prompt="If there is a benefit #2 and it was paid in-kind, mark this box with an  x._x000a_" sqref="L23 L53 L260 L27 L36 L40:L41 L45 L49 L57 L61 L277 L281 L345 L349:L350 L246:L247 L251:L252 L65 L69 L73 L77 L81 L85 L117 L121 L113 L101 L125 L137 L141:L142 L146:L148 L105 L93 L109 L97 L129 L133 L152:L153 L181 L185:L186 L190:L192 L196:L197 L201:L202 L206 L210:L211 L215 L219:L221 L225 L173 L177 L229:L230 L238 L242 L89 L157 L161 L165 L169 L234 L256 L264:L265 L354 L397:L398 L269 L293 L297 L306:L307 L301:L302 L311 L285 L289 L315:L316 L320:L321 L273 L325 L329 L333 L337 L341 L358 L443 L363 L432:L433 L367:L368 L447:L448 L372:L373 L377:L379 L383:L384 L402:L403 L407:L409 L413:L414 L418:L420 L424:L425 L428:L429 L437:L439 L387:L388 L392:L393 L451:L453 L457:L458 L462:L463"/>
    <dataValidation allowBlank="1" showInputMessage="1" showErrorMessage="1" promptTitle="Benefit #1- Payment in-kind" prompt="If there is a benefit #1 and it was paid in-kind, mark this box with an  x._x000a_" sqref="L25:L26 L51:L52 L258:L259 L21:L22 L34:L35 L38:L39 L43:L44 L47:L48 L55:L56 L59:L60 L275:L276 L279:L280 L331:L332 L347:L348 L244:L245 L249:L250 L63:L64 L67:L68 L71:L72 L75:L76 L79:L80 L83:L84 L119:L120 L115:L116 L111:L112 L99:L100 L135:L136 L123:L124 L144:L145 L139:L140 L103:L104 L91:L92 L107:L108 L95:L96 L127:L128 L131:L132 L179:L180 L150:L151 L188:L189 L183:L184 L199:L200 L194:L195 L208:L209 L204:L205 L217:L218 L213:L214 L167:L168 L223:L224 L171:L172 L227:L228 L236:L237 L240:L241 L87:L88 L175:L176 L155:L156 L159:L160 L163:L164 L232:L233 L254:L255 L262:L263 L352:L353 L395:L396 L267:L268 L291:L292 L295:L296 L304:L305 L299:L300 L309:L310 L283:L284 L287:L288 L313:L314 L318:L319 L271:L272 L323:L324 L327:L328 L335:L336 L339:L340 L343:L344 L356:L357 L441:L442 L365:L366 L430:L431 L361:L362 L445:L446 L370:L371 L375:L376 L381:L382 L400:L401 L405:L406 L411:L412 L416:L417 L422:L423 L426:L427 L435:L436 L385:L386 L390:L391 L449:L450 L460:L461 L455:L456"/>
    <dataValidation allowBlank="1" showInputMessage="1" showErrorMessage="1" promptTitle="Benefit #3--Payment by Check" prompt="If there is a benefit #3 and it was paid by check, mark an x in this cell._x000a_" sqref="K24 K54 K261 K28:K33 K37 K42 K46 K50 K58 K62 K278 K282 K346 K266 K248 K253 K66 K70 K74 K78 K82 K86 K118 K122 K114 K102 K126 K138 K143 K149 K106 K94 K110 K98 K130 K134 K154 K182 K187 K193 K198 K203 K207 K212 K216 K222 K226 K174 K178 K231 K239 K243 K90 K158 K162 K166 K170 K235 K257 K351 K355 K399 K270 K294 K298 K308 K303 K312 K286 K290 K317 K322 K274 K326 K330 K334 K338 K342 K359 K389 K444 K394 K364 K434 K440 K374 K380 K404 K410 K415 K421 K454 K459 K464"/>
    <dataValidation allowBlank="1" showInputMessage="1" showErrorMessage="1" promptTitle="Benefit #2--Payment by Check" prompt="If there is a benefit #2 and it was paid by check, mark an x in this cell._x000a_" sqref="K23 K53 K260 K27 K36 K40:K41 K45 K49 K57 K61 K277 K281 K345 K349:K350 K246:K247 K251:K252 K65 K69 K73 K77 K81 K85 K117 K121 K113 K101 K125 K137 K141:K142 K146:K148 K105 K93 K109 K97 K129 K133 K152:K153 K181 K185:K186 K190:K192 K196:K197 K201:K202 K206 K210:K211 K215 K219:K221 K225 K173 K177 K229:K230 K238 K242 K89 K157 K161 K165 K169 K234 K256 K264:K265 K354 K397:K398 K269 K293 K297 K306:K307 K301:K302 K311 K285 K289 K315:K316 K320:K321 K273 K325 K329 K333 K337 K341 K358 K443 K363 K432:K433 K367:K368 K447:K448 K372:K373 K377:K379 K383:K384 K402:K403 K407:K409 K413:K414 K418:K420 K424:K425 K428:K429 K437:K439 K387:K388 K392:K393 K451:K453 K457:K458 K462:K463"/>
    <dataValidation allowBlank="1" showInputMessage="1" showErrorMessage="1" promptTitle="Benefit #1--Payment by Check" prompt="If there is a benefit #1 and it was paid by check, mark an x in this cell._x000a_" sqref="K25:K26 K51:K52 K258:K259 K21:K22 K34:K35 K38:K39 K43:K44 K47:K48 K55:K56 K59:K60 K275:K276 K279:K280 K331:K332 K347:K348 K244:K245 K249:K250 K63:K64 K67:K68 K71:K72 K75:K76 K79:K80 K83:K84 K119:K120 K115:K116 K111:K112 K99:K100 K135:K136 K123:K124 K144:K145 K139:K140 K103:K104 K91:K92 K107:K108 K95:K96 K127:K128 K131:K132 K179:K180 K150:K151 K188:K189 K183:K184 K199:K200 K194:K195 K208:K209 K204:K205 K217:K218 K213:K214 K167:K168 K223:K224 K171:K172 K227:K228 K236:K237 K240:K241 K87:K88 K175:K176 K155:K156 K159:K160 K163:K164 K232:K233 K254:K255 K262:K263 K352:K353 K395:K396 K267:K268 K291:K292 K295:K296 K304:K305 K299:K300 K309:K310 K283:K284 K287:K288 K313:K314 K318:K319 K271:K272 K323:K324 K327:K328 K335:K336 K339:K340 K343:K344 K356:K357 K441:K442 K365:K366 K430:K431 K361:K362 K445:K446 K370:K371 K375:K376 K381:K382 K400:K401 K405:K406 K411:K412 K416:K417 K422:K423 K426:K427 K435:K436 K385:K386 K390:K391 K449:K450 K460:K461 K455:K456"/>
    <dataValidation allowBlank="1" showInputMessage="1" showErrorMessage="1" promptTitle="Benefit #3 Description" prompt="Benefit #3 description is listed here" sqref="J24 J54 J261 J28:J33 J37 J42 J46 J50 J58 J62 J278 J282 J346 J266 J248 J253 J66 J70 J74 J78 J82 J86 J118 J122 J114 J102 J126 J138 J143 J149 J106 J94 J110 J98 J130 J134 J154 J182 J187 J193 J198 J203 J207 J212 J216 J222 J226 J174 J178 J231 J239 J243 J90 J158 J162 J166 J170 J235 J257 J351 J355 J404 J270 J294 J298 J308 J303 J312 J286 J290 J317 J322 J274 J326 J330 J334 J338 J342 J359:J360 J389 J444 J399 J364 J434 J440 J374 J379 J410 J394 J415 J421 J454 J459 J464"/>
    <dataValidation allowBlank="1" showInputMessage="1" showErrorMessage="1" promptTitle="Benefit #3 Total Amount" prompt="The total amount of Benefit #3 is entered here." sqref="M24 M54 M261 M28:M33 M37 M42 M46 M50 M58 M62 M278 M282 M346 M266 M248 M253 M66 M70 M74 M78 M82 M86 M118 M122 M114 M102 M126 M138 M143 M149 M106 M94 M110 M98 M130 M134 M154 M182 M187 M193 M198 M203 M207 M212 M216 M222 M226 M174 M178 M231 M239 M243 M90 M158 M162 M166 M170 M235 M257 M351 M355 M399 M270 M294 M298 M308 M303 M312 M286 M290 M317 M322 M274 M326 M330 M334 M338 M342 M359 M389 M444 M394 M364 M434 M440 M374 M379 M404 M410 M415 M421 M454 M459 M464"/>
    <dataValidation allowBlank="1" showInputMessage="1" showErrorMessage="1" promptTitle="Benefit #2 Total Amount" prompt="The total amount of Benefit #2 is entered here." sqref="M23 M53 M260 M27 M36 M40:M41 M45 M49 M57 M61 M277 M281 M345 M349:M350 M246:M247 M251:M252 M65 M69 M73 M77 M81 M85 M117 M121 M113 M101 M125 M137 M141:M142 M146:M148 M105 M93 M109 M97 M129 M133 M152:M153 M181 M185:M186 M190:M192 M196:M197 M201:M202 M206 M210:M211 M215 M219:M221 M225 M173 M177 M229:M230 M238 M242 M89 M157 M161 M165 M169 M234 M256 M264:M265 M354 M397:M398 M269 M293 M297 M306:M307 M301:M302 M311 M285 M289 M315:M316 M320:M321 M273 M325 M329 M333 M337 M341 M358 M443 M363 M432:M433 M367:M368 M447:M448 M372:M373 M383:M384 M377:M378 M402:M403 M407:M409 M413:M414 M418:M420 M424:M425 M428:M429 M437:M439 M387:M388 M392:M393 M451:M453 M457:M458 M462:M463"/>
    <dataValidation allowBlank="1" showInputMessage="1" showErrorMessage="1" promptTitle="Benefit #2 Description" prompt="Benefit #2 description is listed here" sqref="J23 J53 J260 J27 J36 J40:J41 J45 J49 J57 J61 J277 J281 J345 J349:J350 J246:J247 J251:J252 J65 J69 J73 J77 J81 J85 J117 J121 J113 J101 J125 J137 J141:J142 J146:J148 J105 J93 J109 J97 J129 J133 J152:J153 J181 J185:J186 J190:J192 J196:J197 J201:J202 J206 J210:J211 J215 J219:J221 J225 J173 J177 J229:J230 J238 J242 J89 J157 J161 J165 J169 J234 J256 J264:J265 J354 J402:J403 J269 J293 J297 J306:J307 J301:J302 J311 J285 J289 J315:J316 J320:J321 J273 J325 J329 J333 J337 J341 J358 J443 J363 J432:J433 J367:J368 J447:J448 J372:J373 J383:J384 J377:J378 J407:J409 J392:J393 J413:J414 J418:J420 J424:J425 J428:J429 J437:J439 J387:J388 J397:J398 J451:J453 J457:J458 J462:J463"/>
    <dataValidation allowBlank="1" showInputMessage="1" showErrorMessage="1" promptTitle="Benefit #1 Total Amount" prompt="The total amount of Benefit #1 is entered here." sqref="M25:M26 M51:M52 M258:M259 M21:M22 M34:M35 M38:M39 M43:M44 M47:M48 M55:M56 M59:M60 M275:M276 M279:M280 M331:M332 M347:M348 M244:M245 M249:M250 M63:M64 M67:M68 M71:M72 M75:M76 M79:M80 M83:M84 M119:M120 M115:M116 M111:M112 M99:M100 M135:M136 M123:M124 M144:M145 M139:M140 M103:M104 M91:M92 M107:M108 M95:M96 M127:M128 M131:M132 M179:M180 M150:M151 M188:M189 M183:M184 M199:M200 M194:M195 M208:M209 M204:M205 M217:M218 M213:M214 M167:M168 M223:M224 M171:M172 M227:M228 M236:M237 M240:M241 M87:M88 M175:M176 M155:M156 M159:M160 M163:M164 M232:M233 M254:M255 M262:M263 M352:M353 M395:M396 M267:M268 M291:M292 M295:M296 M304:M305 M299:M300 M309:M310 M283:M284 M287:M288 M313:M314 M318:M319 M271:M272 M323:M324 M327:M328 M335:M336 M339:M340 M343:M344 M356:M357 M441:M442 M365:M366 M430:M431 M361:M362 M445:M446 M370:M371 M375:M376 M381:M382 M400:M401 M405:M406 M411:M412 M416:M417 M422:M423 M426:M427 M435:M436 M385:M386 M390:M391 M449:M450 M460:M461 M455:M456"/>
    <dataValidation allowBlank="1" showInputMessage="1" showErrorMessage="1" promptTitle="Benefit#1 Description" prompt="Benefit Description for Entry #1 is listed here." sqref="J25:J26 J51:J52 J258:J259 J21:J22 J34:J35 J38:J39 J43:J44 J47:J48 J55:J56 J59:J60 J275:J276 J279:J280 J331:J332 J347:J348 J244:J245 J249:J250 J63:J64 J67:J68 J71:J72 J75:J76 J79:J80 J83:J84 J119:J120 J115:J116 J111:J112 J99:J100 J135:J136 J123:J124 J144:J145 J139:J140 J103:J104 J91:J92 J107:J108 J95:J96 J127:J128 J131:J132 J179:J180 J150:J151 J188:J189 J183:J184 J199:J200 J194:J195 J208:J209 J204:J205 J217:J218 J213:J214 J167:J168 J223:J224 J171:J172 J227:J228 J236:J237 J240:J241 J87:J88 J175:J176 J155:J156 J159:J160 J163:J164 J232:J233 J254:J255 J262:J263 J352:J353 J395:J396 J267:J268 J291:J292 J295:J296 J304:J305 J299:J300 J309:J310 J283:J284 J287:J288 J313:J314 J318:J319 J271:J272 J323:J324 J327:J328 J335:J336 J339:J340 J343:J344 J356:J357 J441:J442 J365:J366 J430:J431 J361:J362 J445:J446 J370:J371 J375:J376 J381:J382 J400:J401 J405:J406 J411:J412 J416:J417 J422:J423 J426:J427 J435:J436 J385:J386 J390:J391 J449:J450 J460:J461 J455:J456"/>
    <dataValidation allowBlank="1" showInputMessage="1" showErrorMessage="1" promptTitle="Travel Date(s)" prompt="List the dates of travel here expressed in the format MM/DD/YYYY-MM/DD/YYYY." sqref="F24 F54 F261 F28:F33 F37 F42 F46 F50 F58 F62 F278 F282 F346 F266 F248 F253 F66 F70 F74 F78 F82 F86 F118 F122 F114 F102 F126 F138 F143 F149 F106 F94 F110 F98 F130 F134 F154 F182 F187 F193 F198 F203 F207 F212 F216 F222 F226 F174 F178 F231 F239 F243 F90 F158 F162 F166 F170 F235 F257 F350 F355 F394 F270 F294 F298 F308 F303 F312 F286 F290 F317 F322 F274 F326 F330 F334 F338 F342 F359 F444 F448 F399 F364 F433 F438 F373 F378:F379 F404 F408 F414 F419 F425 F452 F459 F464"/>
    <dataValidation type="date" allowBlank="1" showInputMessage="1" showErrorMessage="1" errorTitle="Data Entry Error" error="Please enter date using MM/DD/YYYY" promptTitle="Event Ending Date" prompt="List Event ending date here using the format MM/DD/YYYY." sqref="D24 D54 D261 D28:D33 D37 D42 D46 D50 D58 D62 D278 D282 D346 D266 D248 D253 D66 D70 D74 D78 D82 D86 D118 D122 D114 D102 D126 D138 D143 D149 D94 D110 D98 D130 D136 D134 D154 D182 D187 D193 D198 D203 D207 D212 D216 D222 D226 D174 D178 D231 D239 D243 D90 D106 D158 D162 D166 D170 D235 D257 D350 D355 D394 D270 D294 D298 D308 D303 D312 D286 D290 D317 D322 D274 D326 D330 D334 D338 D342 D444 D448 D433 D364 D438 D373 D378:D379 D384 D404 D408 D414 D419 D399 D425 D452 D459 D464">
      <formula1>40179</formula1>
      <formula2>73051</formula2>
    </dataValidation>
    <dataValidation allowBlank="1" showInputMessage="1" showErrorMessage="1" promptTitle="Event Sponsor" prompt="List the event sponsor here." sqref="C24 C54 C261 C28:C33 C37 C42 C46 C58 C62 C278 C282 C346 C266 C248 C253 C66 C70 C74 C78 C82 C86 C118 C122 C114 C102 C126 C138 C143 C149 C106 C94 C110 C98 C130 C134 C154 C182 C187 C193 C198 C203 C207 C212 C216 C222 C226 C174 C178 C231 C239 C243 C90 C158 C162 C166 C170 C235 C257 C350 C355 C394 C270 C294 C298 C308 C303 C312 C286 C290 C317 C322 C274 C326 C330 C334 C338 C342 C359 C444 C448 C399 C364 C425 C433 C438 C373 C404 C408 C414 C419 C452 C459 C464"/>
    <dataValidation allowBlank="1" showInputMessage="1" showErrorMessage="1" promptTitle="Traveler Title" prompt="List traveler's title here." sqref="B24 B54 B261 B28:B32 B37 B42 B46 B58 B62 B278 B282 B346 B266 B248 B253 B66 B70 B74 B78 B82 B86 B118 B122 B114 B102 B126 B138 B143 B149 B106 B94 B110 B98 B130 B134 B154 B182 B187 B193 B198 B203 B207 B212 B216 B222 B226 B174 B178 B231 B239 B243 B90 B158 B162 B166 B170 B235 B257 B350 B355 B404 B270 B294 B298 B308 B303 B312 B286 B290 B317 B322 B274 B326 B330 B334 B338 B342 B444 B448 B414 B364 B425 B394 B433 B373 B399 B452 B459"/>
    <dataValidation allowBlank="1" showInputMessage="1" showErrorMessage="1" promptTitle="Location " prompt="List location of event here." sqref="F26 F52 F259 F22 F35 F39 F44 F56 F60 F276 F280 F332 F348 F245 F250 F64 F68 F72 F76 F80 F84 F120 F116 F112 F100 F136 F124 F145 F140 F104 F92 F108 F96 F128 F132 F180 F151 F189 F184 F200 F195 F209 F205 F218 F214 F168 F224 F172 F228 F237 F241 F88 F176 F156 F160 F164 F233 F255 F263 F353 F401 F268 F292 F296 F305 F300 F310 F284 F288 F314 F319 F272 F324 F328 F336 F340 F344 F357 F442 F366 F431 F362 F446 F371 F376 F382 F406 F386 F412 F417 F423 F427 F436 F391 F396 F450 F461 F456"/>
    <dataValidation type="date" allowBlank="1" showInputMessage="1" showErrorMessage="1" errorTitle="Text Entered Not Valid" error="Please enter date using standardized format MM/DD/YYYY." promptTitle="Event Beginning Date" prompt="Insert event beginning date using the format MM/DD/YYYY here._x000a_" sqref="D26 D52 D259 D22 D35 D39 D44 D48 D56 D60 D276 D280 D332 D348 D245 D250 D64 D68 D72 D76 D80 D84 D120 D116 D112 D100 D132 D124 D145 D140 D88 D104 D92 D108 D96 D128 D180 D151 D189 D184 D200 D195 D209 D205 D218 D214 D168 D224 D172 D228 D237 D241 D176 D156 D160 D164 D233 D255 D263 D353 D401 D268 D292 D296 D305 D300 D310 D284 D288 D314 D319 D272 D324 D328 D336 D340 D344 D357 D442 D366 D431 D362 D446 D371 D376 D382 D406 D386 D412 D417 D423 D427 D436 D391 D396 D450 D461 D456">
      <formula1>40179</formula1>
      <formula2>73051</formula2>
    </dataValidation>
    <dataValidation allowBlank="1" showInputMessage="1" showErrorMessage="1" promptTitle="Event Description" prompt="Provide event description (e.g. title of the conference) here." sqref="C26 C52 C259 C22 C35 C39 C44 C56 C60 C276 C280 C332 C348 C245 C250 C64 C68 C72 C76 C80 C84 C120 C116 C112 C100 C136 C124 C145 C140 C104 C92 C108 C96 C128 C132 C180 C151 C189 C184 C200 C195 C209 C205 C218 C214 C168 C224 C172 C228 C237 C241 C88 C176 C156 C160 C164 C233 C255 C263 C353 C401 C268 C292 C296 C305 C300 C310 C284 C288 C314 C319 C272 C324 C328 C336 C340 C344 C357 C442 C366 C431 C362 C446 C371 C376 C382 C406 C386 C412 C417 C423 C427 C436 C391 C396 C450 C461 C456"/>
    <dataValidation allowBlank="1" showInputMessage="1" showErrorMessage="1" promptTitle="Traveler Name " prompt="List traveler's first and last name here." sqref="B22 B48 B52 B120 B300 B332 B348"/>
    <dataValidation allowBlank="1" showInputMessage="1" showErrorMessage="1" promptTitle="Next Traveler Name " prompt="List traveler's first and last name here." sqref="B44 B259 B33 B26 B35 B39 B56 B60 B272 B276 B344 B340 B245 B250 B64 B68 B72 B76 B80 B84 B116 B100 B96 B112 B124 B136 B140 B145 B88 B104 B92 B108 B128 B132 B151 B180 B184 B189 B195 B200 B205 B209 B214 B218 B224 B172 B176 B228 B237 B241 B156 B160 B164 B168 B233 B255 B263 B353 B396 B268 B292 B296 B305 B288 B310 B280 B284 B314 B319 B324 B328 B336 B357 B442 B366 B431 B362 B446 B371 B376 B382 B401 B406 B412 B417 B423 B427 B436 B386 B391 B450 B456 B461"/>
  </dataValidations>
  <printOptions horizontalCentered="1" verticalCentered="1"/>
  <pageMargins left="0.5" right="0.5" top="0.3" bottom="0.4"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4"/>
  <sheetViews>
    <sheetView topLeftCell="A437" workbookViewId="0">
      <selection activeCell="A404" sqref="A404:A407"/>
    </sheetView>
  </sheetViews>
  <sheetFormatPr defaultColWidth="8.7109375" defaultRowHeight="15"/>
  <cols>
    <col min="1" max="1" width="3.7109375" style="39" customWidth="1"/>
    <col min="2" max="2" width="16.42578125" style="39" customWidth="1"/>
    <col min="3" max="3" width="16.7109375" style="39" customWidth="1"/>
    <col min="4" max="4" width="15.85546875" style="39" customWidth="1"/>
    <col min="5" max="5" width="14.5703125" style="39" hidden="1" customWidth="1"/>
    <col min="6" max="6" width="16.5703125" style="39" customWidth="1"/>
    <col min="7" max="7" width="3.140625" style="39" customWidth="1"/>
    <col min="8" max="8" width="11" style="39" customWidth="1"/>
    <col min="9" max="9" width="3.140625" style="39" customWidth="1"/>
    <col min="10" max="10" width="11.85546875" style="39" customWidth="1"/>
    <col min="11" max="11" width="8.42578125" style="39" customWidth="1"/>
    <col min="12" max="12" width="8.5703125" style="39" bestFit="1" customWidth="1"/>
    <col min="13" max="13" width="11.7109375" style="39" customWidth="1"/>
    <col min="14" max="14" width="3.7109375" style="39" customWidth="1"/>
    <col min="15" max="15" width="9.140625" style="39" customWidth="1"/>
    <col min="16" max="16" width="19.85546875" style="39" customWidth="1"/>
    <col min="17" max="17" width="11.28515625" style="39" customWidth="1"/>
    <col min="18" max="16384" width="8.7109375" style="39"/>
  </cols>
  <sheetData>
    <row r="1" spans="1:14" hidden="1"/>
    <row r="2" spans="1:14" ht="14.25" customHeight="1">
      <c r="J2" s="632" t="s">
        <v>0</v>
      </c>
      <c r="K2" s="551"/>
      <c r="L2" s="551"/>
      <c r="M2" s="551"/>
    </row>
    <row r="3" spans="1:14">
      <c r="J3" s="551"/>
      <c r="K3" s="551"/>
      <c r="L3" s="551"/>
      <c r="M3" s="551"/>
    </row>
    <row r="4" spans="1:14" ht="15.75" thickBot="1">
      <c r="A4" s="42"/>
      <c r="B4" s="42"/>
      <c r="C4" s="42"/>
      <c r="D4" s="42"/>
      <c r="E4" s="42"/>
      <c r="F4" s="42"/>
      <c r="G4" s="42"/>
      <c r="H4" s="42"/>
      <c r="I4" s="42"/>
      <c r="J4" s="633"/>
      <c r="K4" s="633"/>
      <c r="L4" s="633"/>
      <c r="M4" s="633"/>
    </row>
    <row r="5" spans="1:14" ht="30" customHeight="1" thickTop="1" thickBot="1">
      <c r="A5" s="634" t="s">
        <v>236</v>
      </c>
      <c r="B5" s="635"/>
      <c r="C5" s="635"/>
      <c r="D5" s="635"/>
      <c r="E5" s="635"/>
      <c r="F5" s="635"/>
      <c r="G5" s="635"/>
      <c r="H5" s="635"/>
      <c r="I5" s="635"/>
      <c r="J5" s="635"/>
      <c r="K5" s="635"/>
      <c r="L5" s="635"/>
      <c r="M5" s="636"/>
      <c r="N5" s="42"/>
    </row>
    <row r="6" spans="1:14">
      <c r="A6" s="799" t="s">
        <v>1</v>
      </c>
      <c r="B6" s="639" t="s">
        <v>2</v>
      </c>
      <c r="C6" s="640"/>
      <c r="D6" s="640"/>
      <c r="E6" s="640"/>
      <c r="F6" s="640"/>
      <c r="G6" s="640"/>
      <c r="H6" s="640"/>
      <c r="I6" s="640"/>
      <c r="J6" s="641"/>
      <c r="K6" s="2" t="s">
        <v>3</v>
      </c>
      <c r="L6" s="2" t="s">
        <v>4</v>
      </c>
      <c r="M6" s="26" t="s">
        <v>5</v>
      </c>
      <c r="N6" s="42"/>
    </row>
    <row r="7" spans="1:14" ht="15.75" thickBot="1">
      <c r="A7" s="637"/>
      <c r="B7" s="642"/>
      <c r="C7" s="643"/>
      <c r="D7" s="643"/>
      <c r="E7" s="643"/>
      <c r="F7" s="643"/>
      <c r="G7" s="643"/>
      <c r="H7" s="643"/>
      <c r="I7" s="643"/>
      <c r="J7" s="644"/>
      <c r="K7" s="3">
        <v>2</v>
      </c>
      <c r="L7" s="4">
        <v>4</v>
      </c>
      <c r="M7" s="5">
        <v>2018</v>
      </c>
      <c r="N7" s="37"/>
    </row>
    <row r="8" spans="1:14" ht="27.75" customHeight="1" thickTop="1" thickBot="1">
      <c r="A8" s="637"/>
      <c r="B8" s="674" t="s">
        <v>6</v>
      </c>
      <c r="C8" s="675"/>
      <c r="D8" s="675"/>
      <c r="E8" s="675"/>
      <c r="F8" s="675"/>
      <c r="G8" s="675"/>
      <c r="H8" s="675"/>
      <c r="I8" s="675"/>
      <c r="J8" s="675"/>
      <c r="K8" s="675"/>
      <c r="L8" s="675"/>
      <c r="M8" s="676"/>
      <c r="N8" s="38"/>
    </row>
    <row r="9" spans="1:14" ht="18">
      <c r="A9" s="637"/>
      <c r="B9" s="645" t="s">
        <v>93</v>
      </c>
      <c r="C9" s="646"/>
      <c r="D9" s="646"/>
      <c r="E9" s="646"/>
      <c r="F9" s="647"/>
      <c r="G9" s="677"/>
      <c r="H9" s="652" t="s">
        <v>132</v>
      </c>
      <c r="I9" s="680" t="s">
        <v>42</v>
      </c>
      <c r="J9" s="654" t="s">
        <v>133</v>
      </c>
      <c r="K9" s="617"/>
      <c r="L9" s="622" t="s">
        <v>15</v>
      </c>
      <c r="M9" s="623"/>
      <c r="N9" s="42"/>
    </row>
    <row r="10" spans="1:14" ht="15.75">
      <c r="A10" s="637"/>
      <c r="B10" s="648"/>
      <c r="C10" s="537"/>
      <c r="D10" s="537"/>
      <c r="E10" s="537"/>
      <c r="F10" s="649"/>
      <c r="G10" s="678"/>
      <c r="H10" s="653"/>
      <c r="I10" s="681"/>
      <c r="J10" s="655"/>
      <c r="K10" s="618"/>
      <c r="L10" s="624"/>
      <c r="M10" s="625"/>
      <c r="N10" s="42"/>
    </row>
    <row r="11" spans="1:14" ht="39.75" thickBot="1">
      <c r="A11" s="637"/>
      <c r="B11" s="6" t="s">
        <v>7</v>
      </c>
      <c r="C11" s="7" t="s">
        <v>94</v>
      </c>
      <c r="D11" s="650" t="s">
        <v>95</v>
      </c>
      <c r="E11" s="650"/>
      <c r="F11" s="651"/>
      <c r="G11" s="679"/>
      <c r="H11" s="653"/>
      <c r="I11" s="682"/>
      <c r="J11" s="656"/>
      <c r="K11" s="619"/>
      <c r="L11" s="626"/>
      <c r="M11" s="627"/>
      <c r="N11" s="42"/>
    </row>
    <row r="12" spans="1:14" ht="15.75" thickTop="1">
      <c r="A12" s="637"/>
      <c r="B12" s="657" t="s">
        <v>8</v>
      </c>
      <c r="C12" s="659" t="s">
        <v>9</v>
      </c>
      <c r="D12" s="661" t="s">
        <v>10</v>
      </c>
      <c r="E12" s="663" t="s">
        <v>11</v>
      </c>
      <c r="F12" s="664"/>
      <c r="G12" s="667" t="s">
        <v>12</v>
      </c>
      <c r="H12" s="668"/>
      <c r="I12" s="669"/>
      <c r="J12" s="659" t="s">
        <v>13</v>
      </c>
      <c r="K12" s="620" t="s">
        <v>14</v>
      </c>
      <c r="L12" s="628" t="s">
        <v>16</v>
      </c>
      <c r="M12" s="630" t="s">
        <v>17</v>
      </c>
      <c r="N12" s="42"/>
    </row>
    <row r="13" spans="1:14" ht="33.75" customHeight="1" thickBot="1">
      <c r="A13" s="638"/>
      <c r="B13" s="658"/>
      <c r="C13" s="660"/>
      <c r="D13" s="662"/>
      <c r="E13" s="665"/>
      <c r="F13" s="666"/>
      <c r="G13" s="670"/>
      <c r="H13" s="671"/>
      <c r="I13" s="672"/>
      <c r="J13" s="673"/>
      <c r="K13" s="621"/>
      <c r="L13" s="629"/>
      <c r="M13" s="631"/>
      <c r="N13" s="42"/>
    </row>
    <row r="14" spans="1:14" ht="23.25" thickTop="1">
      <c r="A14" s="613" t="s">
        <v>18</v>
      </c>
      <c r="B14" s="40" t="s">
        <v>19</v>
      </c>
      <c r="C14" s="40" t="s">
        <v>20</v>
      </c>
      <c r="D14" s="40" t="s">
        <v>21</v>
      </c>
      <c r="E14" s="542" t="s">
        <v>22</v>
      </c>
      <c r="F14" s="542"/>
      <c r="G14" s="523" t="s">
        <v>12</v>
      </c>
      <c r="H14" s="528"/>
      <c r="I14" s="43"/>
      <c r="J14" s="29"/>
      <c r="K14" s="29"/>
      <c r="L14" s="29"/>
      <c r="M14" s="28"/>
      <c r="N14" s="42"/>
    </row>
    <row r="15" spans="1:14" ht="22.5">
      <c r="A15" s="797"/>
      <c r="B15" s="9" t="s">
        <v>23</v>
      </c>
      <c r="C15" s="9" t="s">
        <v>24</v>
      </c>
      <c r="D15" s="10">
        <v>40766</v>
      </c>
      <c r="E15" s="11"/>
      <c r="F15" s="12" t="s">
        <v>25</v>
      </c>
      <c r="G15" s="607" t="s">
        <v>26</v>
      </c>
      <c r="H15" s="608"/>
      <c r="I15" s="609"/>
      <c r="J15" s="13" t="s">
        <v>27</v>
      </c>
      <c r="K15" s="14"/>
      <c r="L15" s="15" t="s">
        <v>28</v>
      </c>
      <c r="M15" s="31">
        <v>280</v>
      </c>
      <c r="N15" s="42"/>
    </row>
    <row r="16" spans="1:14" ht="22.5">
      <c r="A16" s="797"/>
      <c r="B16" s="41" t="s">
        <v>29</v>
      </c>
      <c r="C16" s="41" t="s">
        <v>30</v>
      </c>
      <c r="D16" s="41" t="s">
        <v>31</v>
      </c>
      <c r="E16" s="616" t="s">
        <v>32</v>
      </c>
      <c r="F16" s="616"/>
      <c r="G16" s="610"/>
      <c r="H16" s="611"/>
      <c r="I16" s="612"/>
      <c r="J16" s="16" t="s">
        <v>33</v>
      </c>
      <c r="K16" s="15" t="s">
        <v>28</v>
      </c>
      <c r="L16" s="17"/>
      <c r="M16" s="32">
        <v>825</v>
      </c>
      <c r="N16" s="42"/>
    </row>
    <row r="17" spans="1:14" ht="15.75" thickBot="1">
      <c r="A17" s="798"/>
      <c r="B17" s="18" t="s">
        <v>34</v>
      </c>
      <c r="C17" s="18" t="s">
        <v>35</v>
      </c>
      <c r="D17" s="10">
        <v>40767</v>
      </c>
      <c r="E17" s="19" t="s">
        <v>36</v>
      </c>
      <c r="F17" s="12" t="s">
        <v>37</v>
      </c>
      <c r="G17" s="539"/>
      <c r="H17" s="540"/>
      <c r="I17" s="541"/>
      <c r="J17" s="20" t="s">
        <v>38</v>
      </c>
      <c r="K17" s="21"/>
      <c r="L17" s="21" t="s">
        <v>28</v>
      </c>
      <c r="M17" s="27">
        <v>120</v>
      </c>
      <c r="N17" s="42"/>
    </row>
    <row r="18" spans="1:14" s="152" customFormat="1" ht="24" customHeight="1" thickTop="1" thickBot="1">
      <c r="A18" s="518">
        <f>A13+1</f>
        <v>1</v>
      </c>
      <c r="B18" s="237" t="s">
        <v>19</v>
      </c>
      <c r="C18" s="161" t="s">
        <v>20</v>
      </c>
      <c r="D18" s="161" t="s">
        <v>21</v>
      </c>
      <c r="E18" s="542" t="s">
        <v>22</v>
      </c>
      <c r="F18" s="542"/>
      <c r="G18" s="542" t="s">
        <v>12</v>
      </c>
      <c r="H18" s="543"/>
      <c r="I18" s="248"/>
      <c r="J18" s="249" t="s">
        <v>39</v>
      </c>
      <c r="K18" s="250"/>
      <c r="L18" s="250"/>
      <c r="M18" s="251"/>
    </row>
    <row r="19" spans="1:14" s="152" customFormat="1" ht="23.25" thickBot="1">
      <c r="A19" s="521"/>
      <c r="B19" s="128" t="s">
        <v>687</v>
      </c>
      <c r="C19" s="128" t="s">
        <v>681</v>
      </c>
      <c r="D19" s="129">
        <v>43322</v>
      </c>
      <c r="E19" s="128"/>
      <c r="F19" s="128" t="s">
        <v>682</v>
      </c>
      <c r="G19" s="524" t="s">
        <v>683</v>
      </c>
      <c r="H19" s="525"/>
      <c r="I19" s="526"/>
      <c r="J19" s="130" t="s">
        <v>27</v>
      </c>
      <c r="K19" s="130"/>
      <c r="L19" s="87" t="s">
        <v>28</v>
      </c>
      <c r="M19" s="88">
        <v>400</v>
      </c>
    </row>
    <row r="20" spans="1:14" s="152" customFormat="1" ht="23.25" thickBot="1">
      <c r="A20" s="521"/>
      <c r="B20" s="153" t="s">
        <v>29</v>
      </c>
      <c r="C20" s="153" t="s">
        <v>30</v>
      </c>
      <c r="D20" s="153" t="s">
        <v>31</v>
      </c>
      <c r="E20" s="527" t="s">
        <v>32</v>
      </c>
      <c r="F20" s="527"/>
      <c r="G20" s="529"/>
      <c r="H20" s="530"/>
      <c r="I20" s="531"/>
      <c r="J20" s="131" t="s">
        <v>684</v>
      </c>
      <c r="K20" s="132"/>
      <c r="L20" s="90" t="s">
        <v>28</v>
      </c>
      <c r="M20" s="119">
        <v>289</v>
      </c>
    </row>
    <row r="21" spans="1:14" s="152" customFormat="1" ht="15.75" thickBot="1">
      <c r="A21" s="521"/>
      <c r="B21" s="721" t="s">
        <v>685</v>
      </c>
      <c r="C21" s="721" t="s">
        <v>683</v>
      </c>
      <c r="D21" s="725">
        <v>43323</v>
      </c>
      <c r="E21" s="281"/>
      <c r="F21" s="726" t="s">
        <v>686</v>
      </c>
      <c r="G21" s="154"/>
      <c r="H21" s="155"/>
      <c r="I21" s="156"/>
      <c r="J21" s="131" t="s">
        <v>38</v>
      </c>
      <c r="K21" s="132"/>
      <c r="L21" s="90" t="s">
        <v>28</v>
      </c>
      <c r="M21" s="119">
        <v>200</v>
      </c>
    </row>
    <row r="22" spans="1:14" s="152" customFormat="1" ht="23.25" thickBot="1">
      <c r="A22" s="522"/>
      <c r="B22" s="722"/>
      <c r="C22" s="722"/>
      <c r="D22" s="722"/>
      <c r="E22" s="282"/>
      <c r="F22" s="727"/>
      <c r="G22" s="539"/>
      <c r="H22" s="540"/>
      <c r="I22" s="541"/>
      <c r="J22" s="131" t="s">
        <v>127</v>
      </c>
      <c r="K22" s="132"/>
      <c r="L22" s="90" t="s">
        <v>28</v>
      </c>
      <c r="M22" s="120">
        <v>100</v>
      </c>
    </row>
    <row r="23" spans="1:14" s="152" customFormat="1" ht="24" customHeight="1" thickTop="1" thickBot="1">
      <c r="A23" s="518">
        <f>A22+102</f>
        <v>102</v>
      </c>
      <c r="B23" s="150" t="s">
        <v>19</v>
      </c>
      <c r="C23" s="150" t="s">
        <v>20</v>
      </c>
      <c r="D23" s="150" t="s">
        <v>21</v>
      </c>
      <c r="E23" s="523" t="s">
        <v>22</v>
      </c>
      <c r="F23" s="523"/>
      <c r="G23" s="523" t="s">
        <v>12</v>
      </c>
      <c r="H23" s="528"/>
      <c r="I23" s="164"/>
      <c r="J23" s="126" t="s">
        <v>39</v>
      </c>
      <c r="K23" s="127"/>
      <c r="L23" s="127"/>
      <c r="M23" s="22"/>
    </row>
    <row r="24" spans="1:14" s="152" customFormat="1" ht="23.25" thickBot="1">
      <c r="A24" s="521"/>
      <c r="B24" s="128" t="s">
        <v>688</v>
      </c>
      <c r="C24" s="128" t="s">
        <v>681</v>
      </c>
      <c r="D24" s="129">
        <v>43322</v>
      </c>
      <c r="E24" s="128"/>
      <c r="F24" s="128" t="s">
        <v>682</v>
      </c>
      <c r="G24" s="524" t="s">
        <v>683</v>
      </c>
      <c r="H24" s="525"/>
      <c r="I24" s="526"/>
      <c r="J24" s="130" t="s">
        <v>27</v>
      </c>
      <c r="K24" s="130"/>
      <c r="L24" s="87" t="s">
        <v>28</v>
      </c>
      <c r="M24" s="88">
        <v>400</v>
      </c>
    </row>
    <row r="25" spans="1:14" s="152" customFormat="1" ht="23.25" thickBot="1">
      <c r="A25" s="521"/>
      <c r="B25" s="153" t="s">
        <v>29</v>
      </c>
      <c r="C25" s="153" t="s">
        <v>30</v>
      </c>
      <c r="D25" s="153" t="s">
        <v>31</v>
      </c>
      <c r="E25" s="527" t="s">
        <v>32</v>
      </c>
      <c r="F25" s="527"/>
      <c r="G25" s="529"/>
      <c r="H25" s="530"/>
      <c r="I25" s="531"/>
      <c r="J25" s="131" t="s">
        <v>684</v>
      </c>
      <c r="K25" s="132"/>
      <c r="L25" s="90" t="s">
        <v>28</v>
      </c>
      <c r="M25" s="119">
        <v>289</v>
      </c>
    </row>
    <row r="26" spans="1:14" s="152" customFormat="1" ht="15.75" thickBot="1">
      <c r="A26" s="521"/>
      <c r="B26" s="721" t="s">
        <v>685</v>
      </c>
      <c r="C26" s="721" t="s">
        <v>683</v>
      </c>
      <c r="D26" s="725">
        <v>43323</v>
      </c>
      <c r="E26" s="281"/>
      <c r="F26" s="726" t="s">
        <v>686</v>
      </c>
      <c r="G26" s="154"/>
      <c r="H26" s="155"/>
      <c r="I26" s="156"/>
      <c r="J26" s="131" t="s">
        <v>38</v>
      </c>
      <c r="K26" s="132"/>
      <c r="L26" s="90" t="s">
        <v>28</v>
      </c>
      <c r="M26" s="119">
        <v>200</v>
      </c>
    </row>
    <row r="27" spans="1:14" s="152" customFormat="1" ht="23.25" thickBot="1">
      <c r="A27" s="522"/>
      <c r="B27" s="722"/>
      <c r="C27" s="722"/>
      <c r="D27" s="722"/>
      <c r="E27" s="282"/>
      <c r="F27" s="727"/>
      <c r="G27" s="539"/>
      <c r="H27" s="540"/>
      <c r="I27" s="541"/>
      <c r="J27" s="141" t="s">
        <v>127</v>
      </c>
      <c r="K27" s="142"/>
      <c r="L27" s="110" t="s">
        <v>28</v>
      </c>
      <c r="M27" s="120">
        <v>100</v>
      </c>
    </row>
    <row r="28" spans="1:14" s="152" customFormat="1" ht="24" customHeight="1" thickTop="1" thickBot="1">
      <c r="A28" s="518">
        <f>A27+103</f>
        <v>103</v>
      </c>
      <c r="B28" s="150" t="s">
        <v>19</v>
      </c>
      <c r="C28" s="150" t="s">
        <v>20</v>
      </c>
      <c r="D28" s="150" t="s">
        <v>21</v>
      </c>
      <c r="E28" s="523" t="s">
        <v>22</v>
      </c>
      <c r="F28" s="523"/>
      <c r="G28" s="523" t="s">
        <v>12</v>
      </c>
      <c r="H28" s="528"/>
      <c r="I28" s="164"/>
      <c r="J28" s="126" t="s">
        <v>39</v>
      </c>
      <c r="K28" s="127"/>
      <c r="L28" s="127"/>
      <c r="M28" s="22"/>
    </row>
    <row r="29" spans="1:14" s="152" customFormat="1" ht="34.5" thickBot="1">
      <c r="A29" s="521"/>
      <c r="B29" s="128" t="s">
        <v>689</v>
      </c>
      <c r="C29" s="128" t="s">
        <v>690</v>
      </c>
      <c r="D29" s="129">
        <v>43329</v>
      </c>
      <c r="E29" s="128"/>
      <c r="F29" s="128" t="s">
        <v>122</v>
      </c>
      <c r="G29" s="524" t="s">
        <v>620</v>
      </c>
      <c r="H29" s="525"/>
      <c r="I29" s="526"/>
      <c r="J29" s="130" t="s">
        <v>27</v>
      </c>
      <c r="K29" s="130"/>
      <c r="L29" s="87" t="s">
        <v>28</v>
      </c>
      <c r="M29" s="88">
        <v>274</v>
      </c>
    </row>
    <row r="30" spans="1:14" s="152" customFormat="1" ht="23.25" thickBot="1">
      <c r="A30" s="521"/>
      <c r="B30" s="153" t="s">
        <v>29</v>
      </c>
      <c r="C30" s="153" t="s">
        <v>30</v>
      </c>
      <c r="D30" s="153" t="s">
        <v>31</v>
      </c>
      <c r="E30" s="527" t="s">
        <v>32</v>
      </c>
      <c r="F30" s="527"/>
      <c r="G30" s="529"/>
      <c r="H30" s="530"/>
      <c r="I30" s="531"/>
      <c r="J30" s="131" t="s">
        <v>33</v>
      </c>
      <c r="K30" s="132"/>
      <c r="L30" s="90" t="s">
        <v>28</v>
      </c>
      <c r="M30" s="108">
        <v>339.83</v>
      </c>
    </row>
    <row r="31" spans="1:14" s="152" customFormat="1" ht="15.75" thickBot="1">
      <c r="A31" s="521"/>
      <c r="B31" s="283"/>
      <c r="C31" s="283"/>
      <c r="D31" s="283"/>
      <c r="E31" s="283"/>
      <c r="F31" s="283"/>
      <c r="G31" s="154"/>
      <c r="H31" s="155"/>
      <c r="I31" s="156"/>
      <c r="J31" s="131" t="s">
        <v>38</v>
      </c>
      <c r="K31" s="132"/>
      <c r="L31" s="90" t="s">
        <v>28</v>
      </c>
      <c r="M31" s="119">
        <v>150</v>
      </c>
    </row>
    <row r="32" spans="1:14" s="152" customFormat="1" ht="23.25" thickBot="1">
      <c r="A32" s="522"/>
      <c r="B32" s="133" t="s">
        <v>227</v>
      </c>
      <c r="C32" s="133" t="s">
        <v>620</v>
      </c>
      <c r="D32" s="144">
        <v>43330</v>
      </c>
      <c r="E32" s="135"/>
      <c r="F32" s="25" t="s">
        <v>691</v>
      </c>
      <c r="G32" s="539"/>
      <c r="H32" s="540"/>
      <c r="I32" s="541"/>
      <c r="J32" s="131" t="s">
        <v>127</v>
      </c>
      <c r="K32" s="132"/>
      <c r="L32" s="90" t="s">
        <v>28</v>
      </c>
      <c r="M32" s="119">
        <v>50</v>
      </c>
    </row>
    <row r="33" spans="1:13" s="152" customFormat="1" ht="24" customHeight="1" thickTop="1" thickBot="1">
      <c r="A33" s="518">
        <f>A32+104</f>
        <v>104</v>
      </c>
      <c r="B33" s="150" t="s">
        <v>19</v>
      </c>
      <c r="C33" s="150" t="s">
        <v>20</v>
      </c>
      <c r="D33" s="150" t="s">
        <v>21</v>
      </c>
      <c r="E33" s="523" t="s">
        <v>22</v>
      </c>
      <c r="F33" s="523"/>
      <c r="G33" s="523" t="s">
        <v>12</v>
      </c>
      <c r="H33" s="528"/>
      <c r="I33" s="164"/>
      <c r="J33" s="126" t="s">
        <v>39</v>
      </c>
      <c r="K33" s="127"/>
      <c r="L33" s="127"/>
      <c r="M33" s="22"/>
    </row>
    <row r="34" spans="1:13" s="152" customFormat="1" ht="34.5" thickBot="1">
      <c r="A34" s="521"/>
      <c r="B34" s="128" t="s">
        <v>692</v>
      </c>
      <c r="C34" s="128" t="s">
        <v>690</v>
      </c>
      <c r="D34" s="129">
        <v>43329</v>
      </c>
      <c r="E34" s="128"/>
      <c r="F34" s="128" t="s">
        <v>122</v>
      </c>
      <c r="G34" s="524" t="s">
        <v>620</v>
      </c>
      <c r="H34" s="525"/>
      <c r="I34" s="526"/>
      <c r="J34" s="130" t="s">
        <v>27</v>
      </c>
      <c r="K34" s="130"/>
      <c r="L34" s="87" t="s">
        <v>28</v>
      </c>
      <c r="M34" s="88">
        <v>274</v>
      </c>
    </row>
    <row r="35" spans="1:13" s="152" customFormat="1" ht="23.25" thickBot="1">
      <c r="A35" s="521"/>
      <c r="B35" s="153" t="s">
        <v>29</v>
      </c>
      <c r="C35" s="153" t="s">
        <v>30</v>
      </c>
      <c r="D35" s="153" t="s">
        <v>31</v>
      </c>
      <c r="E35" s="527" t="s">
        <v>32</v>
      </c>
      <c r="F35" s="527"/>
      <c r="G35" s="529"/>
      <c r="H35" s="530"/>
      <c r="I35" s="531"/>
      <c r="J35" s="131" t="s">
        <v>33</v>
      </c>
      <c r="K35" s="132"/>
      <c r="L35" s="90" t="s">
        <v>28</v>
      </c>
      <c r="M35" s="108">
        <v>339.83</v>
      </c>
    </row>
    <row r="36" spans="1:13" s="152" customFormat="1" ht="15.75" thickBot="1">
      <c r="A36" s="521"/>
      <c r="B36" s="683" t="s">
        <v>227</v>
      </c>
      <c r="C36" s="683" t="s">
        <v>620</v>
      </c>
      <c r="D36" s="685">
        <v>43330</v>
      </c>
      <c r="E36" s="153"/>
      <c r="F36" s="736" t="s">
        <v>691</v>
      </c>
      <c r="G36" s="154"/>
      <c r="H36" s="155"/>
      <c r="I36" s="156"/>
      <c r="J36" s="131" t="s">
        <v>38</v>
      </c>
      <c r="K36" s="132"/>
      <c r="L36" s="90" t="s">
        <v>28</v>
      </c>
      <c r="M36" s="119">
        <v>150</v>
      </c>
    </row>
    <row r="37" spans="1:13" s="152" customFormat="1" ht="23.25" thickBot="1">
      <c r="A37" s="522"/>
      <c r="B37" s="684"/>
      <c r="C37" s="684"/>
      <c r="D37" s="686"/>
      <c r="E37" s="135"/>
      <c r="F37" s="796"/>
      <c r="G37" s="539"/>
      <c r="H37" s="540"/>
      <c r="I37" s="541"/>
      <c r="J37" s="141" t="s">
        <v>127</v>
      </c>
      <c r="K37" s="142"/>
      <c r="L37" s="110" t="s">
        <v>28</v>
      </c>
      <c r="M37" s="119">
        <v>50</v>
      </c>
    </row>
    <row r="38" spans="1:13" s="152" customFormat="1" ht="24" customHeight="1" thickTop="1" thickBot="1">
      <c r="A38" s="518">
        <f>A37+105</f>
        <v>105</v>
      </c>
      <c r="B38" s="150" t="s">
        <v>19</v>
      </c>
      <c r="C38" s="150" t="s">
        <v>20</v>
      </c>
      <c r="D38" s="150" t="s">
        <v>21</v>
      </c>
      <c r="E38" s="523" t="s">
        <v>22</v>
      </c>
      <c r="F38" s="523"/>
      <c r="G38" s="523" t="s">
        <v>12</v>
      </c>
      <c r="H38" s="528"/>
      <c r="I38" s="164"/>
      <c r="J38" s="126" t="s">
        <v>39</v>
      </c>
      <c r="K38" s="127"/>
      <c r="L38" s="127"/>
      <c r="M38" s="22"/>
    </row>
    <row r="39" spans="1:13" s="152" customFormat="1" ht="34.5" thickBot="1">
      <c r="A39" s="521"/>
      <c r="B39" s="128" t="s">
        <v>693</v>
      </c>
      <c r="C39" s="128" t="s">
        <v>690</v>
      </c>
      <c r="D39" s="129">
        <v>43329</v>
      </c>
      <c r="E39" s="128"/>
      <c r="F39" s="128" t="s">
        <v>122</v>
      </c>
      <c r="G39" s="524" t="s">
        <v>620</v>
      </c>
      <c r="H39" s="525"/>
      <c r="I39" s="526"/>
      <c r="J39" s="130" t="s">
        <v>27</v>
      </c>
      <c r="K39" s="130"/>
      <c r="L39" s="87" t="s">
        <v>28</v>
      </c>
      <c r="M39" s="88">
        <v>274</v>
      </c>
    </row>
    <row r="40" spans="1:13" s="152" customFormat="1" ht="23.25" thickBot="1">
      <c r="A40" s="521"/>
      <c r="B40" s="153" t="s">
        <v>29</v>
      </c>
      <c r="C40" s="153" t="s">
        <v>30</v>
      </c>
      <c r="D40" s="153" t="s">
        <v>31</v>
      </c>
      <c r="E40" s="527" t="s">
        <v>32</v>
      </c>
      <c r="F40" s="527"/>
      <c r="G40" s="529"/>
      <c r="H40" s="530"/>
      <c r="I40" s="531"/>
      <c r="J40" s="131" t="s">
        <v>33</v>
      </c>
      <c r="K40" s="132"/>
      <c r="L40" s="90" t="s">
        <v>28</v>
      </c>
      <c r="M40" s="108">
        <v>339.83</v>
      </c>
    </row>
    <row r="41" spans="1:13" s="152" customFormat="1" ht="15.75" thickBot="1">
      <c r="A41" s="521"/>
      <c r="B41" s="721" t="s">
        <v>227</v>
      </c>
      <c r="C41" s="721" t="s">
        <v>620</v>
      </c>
      <c r="D41" s="725">
        <v>43330</v>
      </c>
      <c r="E41" s="153"/>
      <c r="F41" s="726" t="s">
        <v>691</v>
      </c>
      <c r="G41" s="154"/>
      <c r="H41" s="155"/>
      <c r="I41" s="156"/>
      <c r="J41" s="131" t="s">
        <v>38</v>
      </c>
      <c r="K41" s="132"/>
      <c r="L41" s="90" t="s">
        <v>28</v>
      </c>
      <c r="M41" s="119">
        <v>150</v>
      </c>
    </row>
    <row r="42" spans="1:13" s="152" customFormat="1" ht="23.25" thickBot="1">
      <c r="A42" s="522"/>
      <c r="B42" s="722"/>
      <c r="C42" s="722"/>
      <c r="D42" s="722"/>
      <c r="E42" s="135"/>
      <c r="F42" s="727"/>
      <c r="G42" s="539"/>
      <c r="H42" s="540"/>
      <c r="I42" s="541"/>
      <c r="J42" s="131" t="s">
        <v>127</v>
      </c>
      <c r="K42" s="132"/>
      <c r="L42" s="90" t="s">
        <v>28</v>
      </c>
      <c r="M42" s="119">
        <v>50</v>
      </c>
    </row>
    <row r="43" spans="1:13" s="152" customFormat="1" ht="24" customHeight="1" thickTop="1" thickBot="1">
      <c r="A43" s="518">
        <f>A4455+106</f>
        <v>106</v>
      </c>
      <c r="B43" s="150" t="s">
        <v>19</v>
      </c>
      <c r="C43" s="150" t="s">
        <v>20</v>
      </c>
      <c r="D43" s="150" t="s">
        <v>21</v>
      </c>
      <c r="E43" s="523" t="s">
        <v>22</v>
      </c>
      <c r="F43" s="523"/>
      <c r="G43" s="523" t="s">
        <v>12</v>
      </c>
      <c r="H43" s="528"/>
      <c r="I43" s="164"/>
      <c r="J43" s="126" t="s">
        <v>39</v>
      </c>
      <c r="K43" s="127"/>
      <c r="L43" s="127"/>
      <c r="M43" s="22"/>
    </row>
    <row r="44" spans="1:13" s="152" customFormat="1" ht="15.75" thickBot="1">
      <c r="A44" s="521"/>
      <c r="B44" s="800" t="s">
        <v>694</v>
      </c>
      <c r="C44" s="800" t="s">
        <v>690</v>
      </c>
      <c r="D44" s="802">
        <v>43329</v>
      </c>
      <c r="E44" s="128"/>
      <c r="F44" s="800" t="s">
        <v>122</v>
      </c>
      <c r="G44" s="524" t="s">
        <v>620</v>
      </c>
      <c r="H44" s="585"/>
      <c r="I44" s="586"/>
      <c r="J44" s="130" t="s">
        <v>27</v>
      </c>
      <c r="K44" s="130"/>
      <c r="L44" s="87" t="s">
        <v>28</v>
      </c>
      <c r="M44" s="88">
        <v>274</v>
      </c>
    </row>
    <row r="45" spans="1:13" s="152" customFormat="1" ht="23.25" thickBot="1">
      <c r="A45" s="521"/>
      <c r="B45" s="801"/>
      <c r="C45" s="801"/>
      <c r="D45" s="801"/>
      <c r="E45" s="128"/>
      <c r="F45" s="801"/>
      <c r="G45" s="524"/>
      <c r="H45" s="585"/>
      <c r="I45" s="586"/>
      <c r="J45" s="84" t="s">
        <v>33</v>
      </c>
      <c r="K45" s="133"/>
      <c r="L45" s="294" t="s">
        <v>28</v>
      </c>
      <c r="M45" s="108">
        <v>339.83</v>
      </c>
    </row>
    <row r="46" spans="1:13" s="152" customFormat="1" ht="23.25" thickBot="1">
      <c r="A46" s="521"/>
      <c r="B46" s="153" t="s">
        <v>29</v>
      </c>
      <c r="C46" s="153" t="s">
        <v>30</v>
      </c>
      <c r="D46" s="153" t="s">
        <v>31</v>
      </c>
      <c r="E46" s="527" t="s">
        <v>32</v>
      </c>
      <c r="F46" s="527"/>
      <c r="G46" s="529"/>
      <c r="H46" s="530"/>
      <c r="I46" s="531"/>
      <c r="J46" s="131" t="s">
        <v>38</v>
      </c>
      <c r="K46" s="132"/>
      <c r="L46" s="90" t="s">
        <v>28</v>
      </c>
      <c r="M46" s="119">
        <v>150</v>
      </c>
    </row>
    <row r="47" spans="1:13" s="152" customFormat="1" ht="23.25" thickBot="1">
      <c r="A47" s="522"/>
      <c r="B47" s="134" t="s">
        <v>227</v>
      </c>
      <c r="C47" s="134" t="s">
        <v>620</v>
      </c>
      <c r="D47" s="144">
        <v>43330</v>
      </c>
      <c r="E47" s="135"/>
      <c r="F47" s="25" t="s">
        <v>691</v>
      </c>
      <c r="G47" s="539"/>
      <c r="H47" s="540"/>
      <c r="I47" s="541"/>
      <c r="J47" s="141" t="s">
        <v>127</v>
      </c>
      <c r="K47" s="142"/>
      <c r="L47" s="110" t="s">
        <v>28</v>
      </c>
      <c r="M47" s="119">
        <v>50</v>
      </c>
    </row>
    <row r="48" spans="1:13" s="152" customFormat="1" ht="24" customHeight="1" thickTop="1" thickBot="1">
      <c r="A48" s="518">
        <f>A47+107</f>
        <v>107</v>
      </c>
      <c r="B48" s="150" t="s">
        <v>19</v>
      </c>
      <c r="C48" s="150" t="s">
        <v>20</v>
      </c>
      <c r="D48" s="150" t="s">
        <v>21</v>
      </c>
      <c r="E48" s="523" t="s">
        <v>22</v>
      </c>
      <c r="F48" s="523"/>
      <c r="G48" s="523" t="s">
        <v>12</v>
      </c>
      <c r="H48" s="528"/>
      <c r="I48" s="164"/>
      <c r="J48" s="126" t="s">
        <v>39</v>
      </c>
      <c r="K48" s="127"/>
      <c r="L48" s="127"/>
      <c r="M48" s="22"/>
    </row>
    <row r="49" spans="1:13" s="152" customFormat="1" ht="68.25" thickBot="1">
      <c r="A49" s="521"/>
      <c r="B49" s="128" t="s">
        <v>695</v>
      </c>
      <c r="C49" s="128" t="s">
        <v>696</v>
      </c>
      <c r="D49" s="129">
        <v>43366</v>
      </c>
      <c r="E49" s="128"/>
      <c r="F49" s="128" t="s">
        <v>697</v>
      </c>
      <c r="G49" s="544" t="s">
        <v>606</v>
      </c>
      <c r="H49" s="545"/>
      <c r="I49" s="546"/>
      <c r="J49" s="130" t="s">
        <v>27</v>
      </c>
      <c r="K49" s="130"/>
      <c r="L49" s="87" t="s">
        <v>28</v>
      </c>
      <c r="M49" s="88">
        <v>708</v>
      </c>
    </row>
    <row r="50" spans="1:13" s="152" customFormat="1" ht="23.25" thickBot="1">
      <c r="A50" s="521"/>
      <c r="B50" s="153" t="s">
        <v>29</v>
      </c>
      <c r="C50" s="153" t="s">
        <v>30</v>
      </c>
      <c r="D50" s="153" t="s">
        <v>31</v>
      </c>
      <c r="E50" s="527" t="s">
        <v>32</v>
      </c>
      <c r="F50" s="527"/>
      <c r="G50" s="529"/>
      <c r="H50" s="530"/>
      <c r="I50" s="531"/>
      <c r="J50" s="131" t="s">
        <v>33</v>
      </c>
      <c r="K50" s="132"/>
      <c r="L50" s="90" t="s">
        <v>28</v>
      </c>
      <c r="M50" s="119">
        <v>749</v>
      </c>
    </row>
    <row r="51" spans="1:13" s="152" customFormat="1" ht="15.75" thickBot="1">
      <c r="A51" s="521"/>
      <c r="B51" s="803" t="s">
        <v>698</v>
      </c>
      <c r="C51" s="803" t="s">
        <v>160</v>
      </c>
      <c r="D51" s="805">
        <v>43369</v>
      </c>
      <c r="E51" s="153"/>
      <c r="F51" s="807" t="s">
        <v>699</v>
      </c>
      <c r="G51" s="154"/>
      <c r="H51" s="155"/>
      <c r="I51" s="156"/>
      <c r="J51" s="131" t="s">
        <v>38</v>
      </c>
      <c r="K51" s="132"/>
      <c r="L51" s="90" t="s">
        <v>28</v>
      </c>
      <c r="M51" s="119">
        <v>315</v>
      </c>
    </row>
    <row r="52" spans="1:13" s="152" customFormat="1" ht="15.75" thickBot="1">
      <c r="A52" s="522"/>
      <c r="B52" s="804"/>
      <c r="C52" s="804"/>
      <c r="D52" s="806"/>
      <c r="E52" s="135"/>
      <c r="F52" s="808"/>
      <c r="G52" s="539"/>
      <c r="H52" s="540"/>
      <c r="I52" s="541"/>
      <c r="J52" s="131" t="s">
        <v>136</v>
      </c>
      <c r="K52" s="132"/>
      <c r="L52" s="90" t="s">
        <v>28</v>
      </c>
      <c r="M52" s="119">
        <v>520</v>
      </c>
    </row>
    <row r="53" spans="1:13" s="152" customFormat="1" ht="24" customHeight="1" thickTop="1" thickBot="1">
      <c r="A53" s="518">
        <f>A52+108</f>
        <v>108</v>
      </c>
      <c r="B53" s="150" t="s">
        <v>19</v>
      </c>
      <c r="C53" s="150" t="s">
        <v>20</v>
      </c>
      <c r="D53" s="150" t="s">
        <v>21</v>
      </c>
      <c r="E53" s="523" t="s">
        <v>22</v>
      </c>
      <c r="F53" s="523"/>
      <c r="G53" s="523" t="s">
        <v>12</v>
      </c>
      <c r="H53" s="528"/>
      <c r="I53" s="164"/>
      <c r="J53" s="126" t="s">
        <v>39</v>
      </c>
      <c r="K53" s="127"/>
      <c r="L53" s="127"/>
      <c r="M53" s="22"/>
    </row>
    <row r="54" spans="1:13" s="152" customFormat="1" ht="57" thickBot="1">
      <c r="A54" s="521"/>
      <c r="B54" s="128" t="s">
        <v>700</v>
      </c>
      <c r="C54" s="128" t="s">
        <v>701</v>
      </c>
      <c r="D54" s="129">
        <v>43347</v>
      </c>
      <c r="E54" s="128"/>
      <c r="F54" s="128" t="s">
        <v>144</v>
      </c>
      <c r="G54" s="524" t="s">
        <v>230</v>
      </c>
      <c r="H54" s="525"/>
      <c r="I54" s="526"/>
      <c r="J54" s="130" t="s">
        <v>27</v>
      </c>
      <c r="K54" s="130"/>
      <c r="L54" s="87" t="s">
        <v>28</v>
      </c>
      <c r="M54" s="88">
        <v>1350</v>
      </c>
    </row>
    <row r="55" spans="1:13" s="152" customFormat="1" ht="23.25" thickBot="1">
      <c r="A55" s="521"/>
      <c r="B55" s="153" t="s">
        <v>29</v>
      </c>
      <c r="C55" s="153" t="s">
        <v>30</v>
      </c>
      <c r="D55" s="153" t="s">
        <v>31</v>
      </c>
      <c r="E55" s="527" t="s">
        <v>32</v>
      </c>
      <c r="F55" s="527"/>
      <c r="G55" s="529"/>
      <c r="H55" s="530"/>
      <c r="I55" s="531"/>
      <c r="J55" s="131" t="s">
        <v>33</v>
      </c>
      <c r="K55" s="132"/>
      <c r="L55" s="90" t="s">
        <v>28</v>
      </c>
      <c r="M55" s="119">
        <v>550</v>
      </c>
    </row>
    <row r="56" spans="1:13" s="152" customFormat="1" ht="15.75" thickBot="1">
      <c r="A56" s="521"/>
      <c r="B56" s="683" t="s">
        <v>612</v>
      </c>
      <c r="C56" s="683" t="s">
        <v>230</v>
      </c>
      <c r="D56" s="685">
        <v>43351</v>
      </c>
      <c r="E56" s="153"/>
      <c r="F56" s="736" t="s">
        <v>702</v>
      </c>
      <c r="G56" s="154"/>
      <c r="H56" s="155"/>
      <c r="I56" s="156"/>
      <c r="J56" s="131" t="s">
        <v>38</v>
      </c>
      <c r="K56" s="132"/>
      <c r="L56" s="90" t="s">
        <v>28</v>
      </c>
      <c r="M56" s="119">
        <v>407</v>
      </c>
    </row>
    <row r="57" spans="1:13" s="152" customFormat="1" ht="15.75" thickBot="1">
      <c r="A57" s="522"/>
      <c r="B57" s="684"/>
      <c r="C57" s="684"/>
      <c r="D57" s="686"/>
      <c r="E57" s="135"/>
      <c r="F57" s="796"/>
      <c r="G57" s="539"/>
      <c r="H57" s="540"/>
      <c r="I57" s="541"/>
      <c r="J57" s="141" t="s">
        <v>136</v>
      </c>
      <c r="K57" s="142"/>
      <c r="L57" s="110" t="s">
        <v>28</v>
      </c>
      <c r="M57" s="120">
        <v>752</v>
      </c>
    </row>
    <row r="58" spans="1:13" s="152" customFormat="1" ht="24" customHeight="1" thickTop="1" thickBot="1">
      <c r="A58" s="518">
        <f>A57+109</f>
        <v>109</v>
      </c>
      <c r="B58" s="150" t="s">
        <v>19</v>
      </c>
      <c r="C58" s="150" t="s">
        <v>20</v>
      </c>
      <c r="D58" s="150" t="s">
        <v>21</v>
      </c>
      <c r="E58" s="523" t="s">
        <v>22</v>
      </c>
      <c r="F58" s="523"/>
      <c r="G58" s="523" t="s">
        <v>12</v>
      </c>
      <c r="H58" s="528"/>
      <c r="I58" s="164"/>
      <c r="J58" s="126" t="s">
        <v>39</v>
      </c>
      <c r="K58" s="127"/>
      <c r="L58" s="127"/>
      <c r="M58" s="22"/>
    </row>
    <row r="59" spans="1:13" s="152" customFormat="1" ht="34.5" thickBot="1">
      <c r="A59" s="521"/>
      <c r="B59" s="128" t="s">
        <v>703</v>
      </c>
      <c r="C59" s="128" t="s">
        <v>704</v>
      </c>
      <c r="D59" s="129">
        <v>43337</v>
      </c>
      <c r="E59" s="128"/>
      <c r="F59" s="128" t="s">
        <v>705</v>
      </c>
      <c r="G59" s="524" t="s">
        <v>230</v>
      </c>
      <c r="H59" s="525"/>
      <c r="I59" s="526"/>
      <c r="J59" s="130" t="s">
        <v>27</v>
      </c>
      <c r="K59" s="130"/>
      <c r="L59" s="87" t="s">
        <v>28</v>
      </c>
      <c r="M59" s="88">
        <v>1500</v>
      </c>
    </row>
    <row r="60" spans="1:13" s="152" customFormat="1" ht="23.25" thickBot="1">
      <c r="A60" s="521"/>
      <c r="B60" s="153" t="s">
        <v>29</v>
      </c>
      <c r="C60" s="153" t="s">
        <v>30</v>
      </c>
      <c r="D60" s="153" t="s">
        <v>31</v>
      </c>
      <c r="E60" s="527" t="s">
        <v>32</v>
      </c>
      <c r="F60" s="527"/>
      <c r="G60" s="529"/>
      <c r="H60" s="530"/>
      <c r="I60" s="531"/>
      <c r="J60" s="131" t="s">
        <v>33</v>
      </c>
      <c r="K60" s="132"/>
      <c r="L60" s="90" t="s">
        <v>28</v>
      </c>
      <c r="M60" s="119">
        <v>3000</v>
      </c>
    </row>
    <row r="61" spans="1:13" s="152" customFormat="1" ht="15.75" thickBot="1">
      <c r="A61" s="521"/>
      <c r="B61" s="283"/>
      <c r="C61" s="283"/>
      <c r="D61" s="283"/>
      <c r="E61" s="283"/>
      <c r="F61" s="283"/>
      <c r="G61" s="154"/>
      <c r="H61" s="155"/>
      <c r="I61" s="156"/>
      <c r="J61" s="131" t="s">
        <v>38</v>
      </c>
      <c r="K61" s="132"/>
      <c r="L61" s="90" t="s">
        <v>28</v>
      </c>
      <c r="M61" s="295">
        <v>555.5</v>
      </c>
    </row>
    <row r="62" spans="1:13" s="152" customFormat="1" ht="15.75" thickBot="1">
      <c r="A62" s="522"/>
      <c r="B62" s="133" t="s">
        <v>612</v>
      </c>
      <c r="C62" s="133" t="s">
        <v>230</v>
      </c>
      <c r="D62" s="144">
        <v>43340</v>
      </c>
      <c r="E62" s="135"/>
      <c r="F62" s="25" t="s">
        <v>706</v>
      </c>
      <c r="G62" s="539"/>
      <c r="H62" s="540"/>
      <c r="I62" s="541"/>
      <c r="J62" s="131" t="s">
        <v>136</v>
      </c>
      <c r="K62" s="132"/>
      <c r="L62" s="90" t="s">
        <v>28</v>
      </c>
      <c r="M62" s="108">
        <v>346.71</v>
      </c>
    </row>
    <row r="63" spans="1:13" s="152" customFormat="1" ht="24" customHeight="1" thickTop="1" thickBot="1">
      <c r="A63" s="518">
        <f>A67+110</f>
        <v>110</v>
      </c>
      <c r="B63" s="150" t="s">
        <v>19</v>
      </c>
      <c r="C63" s="150" t="s">
        <v>20</v>
      </c>
      <c r="D63" s="150" t="s">
        <v>21</v>
      </c>
      <c r="E63" s="523" t="s">
        <v>22</v>
      </c>
      <c r="F63" s="523"/>
      <c r="G63" s="523" t="s">
        <v>12</v>
      </c>
      <c r="H63" s="528"/>
      <c r="I63" s="164"/>
      <c r="J63" s="126" t="s">
        <v>39</v>
      </c>
      <c r="K63" s="127"/>
      <c r="L63" s="127"/>
      <c r="M63" s="22"/>
    </row>
    <row r="64" spans="1:13" s="152" customFormat="1" ht="34.5" thickBot="1">
      <c r="A64" s="521"/>
      <c r="B64" s="128" t="s">
        <v>707</v>
      </c>
      <c r="C64" s="128" t="s">
        <v>708</v>
      </c>
      <c r="D64" s="129">
        <v>43368</v>
      </c>
      <c r="E64" s="128"/>
      <c r="F64" s="128" t="s">
        <v>709</v>
      </c>
      <c r="G64" s="524" t="s">
        <v>710</v>
      </c>
      <c r="H64" s="525"/>
      <c r="I64" s="526"/>
      <c r="J64" s="130" t="s">
        <v>27</v>
      </c>
      <c r="K64" s="130"/>
      <c r="L64" s="87" t="s">
        <v>28</v>
      </c>
      <c r="M64" s="289">
        <v>775</v>
      </c>
    </row>
    <row r="65" spans="1:13" s="152" customFormat="1" ht="23.25" thickBot="1">
      <c r="A65" s="521"/>
      <c r="B65" s="153" t="s">
        <v>29</v>
      </c>
      <c r="C65" s="153" t="s">
        <v>30</v>
      </c>
      <c r="D65" s="153" t="s">
        <v>31</v>
      </c>
      <c r="E65" s="527" t="s">
        <v>32</v>
      </c>
      <c r="F65" s="527"/>
      <c r="G65" s="529"/>
      <c r="H65" s="530"/>
      <c r="I65" s="531"/>
      <c r="J65" s="131" t="s">
        <v>33</v>
      </c>
      <c r="K65" s="132"/>
      <c r="L65" s="90" t="s">
        <v>28</v>
      </c>
      <c r="M65" s="296">
        <v>500</v>
      </c>
    </row>
    <row r="66" spans="1:13" s="152" customFormat="1" ht="15.75" thickBot="1">
      <c r="A66" s="521"/>
      <c r="B66" s="283"/>
      <c r="C66" s="283"/>
      <c r="D66" s="283"/>
      <c r="E66" s="283"/>
      <c r="F66" s="283"/>
      <c r="G66" s="154"/>
      <c r="H66" s="155"/>
      <c r="I66" s="156"/>
      <c r="J66" s="131" t="s">
        <v>38</v>
      </c>
      <c r="K66" s="132"/>
      <c r="L66" s="90" t="s">
        <v>28</v>
      </c>
      <c r="M66" s="296">
        <v>475</v>
      </c>
    </row>
    <row r="67" spans="1:13" s="152" customFormat="1" ht="34.5" thickBot="1">
      <c r="A67" s="522"/>
      <c r="B67" s="134" t="s">
        <v>711</v>
      </c>
      <c r="C67" s="134" t="s">
        <v>712</v>
      </c>
      <c r="D67" s="144">
        <v>43372</v>
      </c>
      <c r="E67" s="135"/>
      <c r="F67" s="140" t="s">
        <v>713</v>
      </c>
      <c r="G67" s="539"/>
      <c r="H67" s="540"/>
      <c r="I67" s="541"/>
      <c r="J67" s="141" t="s">
        <v>714</v>
      </c>
      <c r="K67" s="142"/>
      <c r="L67" s="110" t="s">
        <v>28</v>
      </c>
      <c r="M67" s="120">
        <v>800</v>
      </c>
    </row>
    <row r="68" spans="1:13" s="152" customFormat="1" ht="24" customHeight="1" thickTop="1" thickBot="1">
      <c r="A68" s="518">
        <f>A67+111</f>
        <v>111</v>
      </c>
      <c r="B68" s="150" t="s">
        <v>19</v>
      </c>
      <c r="C68" s="150" t="s">
        <v>20</v>
      </c>
      <c r="D68" s="150" t="s">
        <v>21</v>
      </c>
      <c r="E68" s="523" t="s">
        <v>22</v>
      </c>
      <c r="F68" s="523"/>
      <c r="G68" s="523" t="s">
        <v>12</v>
      </c>
      <c r="H68" s="528"/>
      <c r="I68" s="164"/>
      <c r="J68" s="126" t="s">
        <v>39</v>
      </c>
      <c r="K68" s="127"/>
      <c r="L68" s="127"/>
      <c r="M68" s="22"/>
    </row>
    <row r="69" spans="1:13" s="152" customFormat="1" ht="68.25" thickBot="1">
      <c r="A69" s="521"/>
      <c r="B69" s="128" t="s">
        <v>715</v>
      </c>
      <c r="C69" s="128" t="s">
        <v>716</v>
      </c>
      <c r="D69" s="129">
        <v>43364</v>
      </c>
      <c r="E69" s="128"/>
      <c r="F69" s="128" t="s">
        <v>144</v>
      </c>
      <c r="G69" s="524" t="s">
        <v>230</v>
      </c>
      <c r="H69" s="525"/>
      <c r="I69" s="526"/>
      <c r="J69" s="130" t="s">
        <v>27</v>
      </c>
      <c r="K69" s="130"/>
      <c r="L69" s="87" t="s">
        <v>28</v>
      </c>
      <c r="M69" s="88">
        <v>340</v>
      </c>
    </row>
    <row r="70" spans="1:13" s="152" customFormat="1" ht="23.25" thickBot="1">
      <c r="A70" s="521"/>
      <c r="B70" s="153" t="s">
        <v>29</v>
      </c>
      <c r="C70" s="153" t="s">
        <v>30</v>
      </c>
      <c r="D70" s="153" t="s">
        <v>31</v>
      </c>
      <c r="E70" s="527" t="s">
        <v>32</v>
      </c>
      <c r="F70" s="527"/>
      <c r="G70" s="529"/>
      <c r="H70" s="530"/>
      <c r="I70" s="531"/>
      <c r="J70" s="131" t="s">
        <v>33</v>
      </c>
      <c r="K70" s="132"/>
      <c r="L70" s="90" t="s">
        <v>28</v>
      </c>
      <c r="M70" s="119">
        <v>500</v>
      </c>
    </row>
    <row r="71" spans="1:13" s="152" customFormat="1" ht="15.75" thickBot="1">
      <c r="A71" s="521"/>
      <c r="B71" s="283"/>
      <c r="C71" s="283"/>
      <c r="D71" s="283"/>
      <c r="E71" s="283"/>
      <c r="F71" s="283"/>
      <c r="G71" s="154"/>
      <c r="H71" s="155"/>
      <c r="I71" s="156"/>
      <c r="J71" s="131" t="s">
        <v>38</v>
      </c>
      <c r="K71" s="132"/>
      <c r="L71" s="90" t="s">
        <v>28</v>
      </c>
      <c r="M71" s="119">
        <v>189</v>
      </c>
    </row>
    <row r="72" spans="1:13" s="152" customFormat="1" ht="15.75" thickBot="1">
      <c r="A72" s="522"/>
      <c r="B72" s="133" t="s">
        <v>231</v>
      </c>
      <c r="C72" s="133" t="s">
        <v>230</v>
      </c>
      <c r="D72" s="144">
        <v>43366</v>
      </c>
      <c r="E72" s="135"/>
      <c r="F72" s="25" t="s">
        <v>717</v>
      </c>
      <c r="G72" s="539"/>
      <c r="H72" s="540"/>
      <c r="I72" s="541"/>
      <c r="J72" s="131" t="s">
        <v>136</v>
      </c>
      <c r="K72" s="132"/>
      <c r="L72" s="90" t="s">
        <v>28</v>
      </c>
      <c r="M72" s="119">
        <v>3450</v>
      </c>
    </row>
    <row r="73" spans="1:13" s="152" customFormat="1" ht="24" customHeight="1" thickTop="1" thickBot="1">
      <c r="A73" s="518">
        <f>A72+112</f>
        <v>112</v>
      </c>
      <c r="B73" s="150" t="s">
        <v>19</v>
      </c>
      <c r="C73" s="150" t="s">
        <v>20</v>
      </c>
      <c r="D73" s="150" t="s">
        <v>21</v>
      </c>
      <c r="E73" s="523" t="s">
        <v>22</v>
      </c>
      <c r="F73" s="523"/>
      <c r="G73" s="523" t="s">
        <v>12</v>
      </c>
      <c r="H73" s="528"/>
      <c r="I73" s="164"/>
      <c r="J73" s="126" t="s">
        <v>39</v>
      </c>
      <c r="K73" s="127"/>
      <c r="L73" s="127"/>
      <c r="M73" s="22"/>
    </row>
    <row r="74" spans="1:13" s="152" customFormat="1" ht="68.25" thickBot="1">
      <c r="A74" s="521"/>
      <c r="B74" s="128" t="s">
        <v>718</v>
      </c>
      <c r="C74" s="128" t="s">
        <v>719</v>
      </c>
      <c r="D74" s="129">
        <v>43367</v>
      </c>
      <c r="E74" s="128"/>
      <c r="F74" s="128" t="s">
        <v>592</v>
      </c>
      <c r="G74" s="524" t="s">
        <v>720</v>
      </c>
      <c r="H74" s="525"/>
      <c r="I74" s="526"/>
      <c r="J74" s="130" t="s">
        <v>27</v>
      </c>
      <c r="K74" s="130"/>
      <c r="L74" s="87" t="s">
        <v>28</v>
      </c>
      <c r="M74" s="88">
        <v>180</v>
      </c>
    </row>
    <row r="75" spans="1:13" s="152" customFormat="1" ht="23.25" thickBot="1">
      <c r="A75" s="521"/>
      <c r="B75" s="153" t="s">
        <v>29</v>
      </c>
      <c r="C75" s="153" t="s">
        <v>30</v>
      </c>
      <c r="D75" s="153" t="s">
        <v>31</v>
      </c>
      <c r="E75" s="527" t="s">
        <v>32</v>
      </c>
      <c r="F75" s="527"/>
      <c r="G75" s="529"/>
      <c r="H75" s="530"/>
      <c r="I75" s="531"/>
      <c r="J75" s="131" t="s">
        <v>33</v>
      </c>
      <c r="K75" s="132"/>
      <c r="L75" s="90" t="s">
        <v>28</v>
      </c>
      <c r="M75" s="119">
        <v>325</v>
      </c>
    </row>
    <row r="76" spans="1:13" s="152" customFormat="1" ht="15.75" thickBot="1">
      <c r="A76" s="521"/>
      <c r="B76" s="283"/>
      <c r="C76" s="283"/>
      <c r="D76" s="283"/>
      <c r="E76" s="283"/>
      <c r="F76" s="283"/>
      <c r="G76" s="154"/>
      <c r="H76" s="155"/>
      <c r="I76" s="156"/>
      <c r="J76" s="131" t="s">
        <v>38</v>
      </c>
      <c r="K76" s="132"/>
      <c r="L76" s="90" t="s">
        <v>28</v>
      </c>
      <c r="M76" s="119">
        <v>185</v>
      </c>
    </row>
    <row r="77" spans="1:13" s="152" customFormat="1" ht="23.25" thickBot="1">
      <c r="A77" s="522"/>
      <c r="B77" s="133" t="s">
        <v>721</v>
      </c>
      <c r="C77" s="133" t="s">
        <v>720</v>
      </c>
      <c r="D77" s="83">
        <v>43368</v>
      </c>
      <c r="E77" s="84"/>
      <c r="F77" s="85" t="s">
        <v>722</v>
      </c>
      <c r="G77" s="532"/>
      <c r="H77" s="533"/>
      <c r="I77" s="534"/>
      <c r="J77" s="131" t="s">
        <v>127</v>
      </c>
      <c r="K77" s="132"/>
      <c r="L77" s="90" t="s">
        <v>28</v>
      </c>
      <c r="M77" s="119">
        <v>80</v>
      </c>
    </row>
    <row r="78" spans="1:13" s="152" customFormat="1" ht="24" customHeight="1" thickTop="1" thickBot="1">
      <c r="A78" s="518">
        <f>A77+113</f>
        <v>113</v>
      </c>
      <c r="B78" s="237" t="s">
        <v>19</v>
      </c>
      <c r="C78" s="237" t="s">
        <v>20</v>
      </c>
      <c r="D78" s="237" t="s">
        <v>21</v>
      </c>
      <c r="E78" s="535" t="s">
        <v>22</v>
      </c>
      <c r="F78" s="535"/>
      <c r="G78" s="535" t="s">
        <v>12</v>
      </c>
      <c r="H78" s="536"/>
      <c r="I78" s="238"/>
      <c r="J78" s="239" t="s">
        <v>39</v>
      </c>
      <c r="K78" s="240"/>
      <c r="L78" s="240"/>
      <c r="M78" s="241"/>
    </row>
    <row r="79" spans="1:13" s="152" customFormat="1" ht="34.5" thickBot="1">
      <c r="A79" s="521"/>
      <c r="B79" s="92" t="s">
        <v>723</v>
      </c>
      <c r="C79" s="92" t="s">
        <v>724</v>
      </c>
      <c r="D79" s="129">
        <v>43365</v>
      </c>
      <c r="E79" s="92"/>
      <c r="F79" s="92" t="s">
        <v>697</v>
      </c>
      <c r="G79" s="524" t="s">
        <v>725</v>
      </c>
      <c r="H79" s="795"/>
      <c r="I79" s="552"/>
      <c r="J79" s="130" t="s">
        <v>27</v>
      </c>
      <c r="K79" s="130"/>
      <c r="L79" s="87" t="s">
        <v>28</v>
      </c>
      <c r="M79" s="88">
        <v>708</v>
      </c>
    </row>
    <row r="80" spans="1:13" s="152" customFormat="1" ht="23.25" thickBot="1">
      <c r="A80" s="521"/>
      <c r="B80" s="93" t="s">
        <v>29</v>
      </c>
      <c r="C80" s="93" t="s">
        <v>30</v>
      </c>
      <c r="D80" s="93" t="s">
        <v>31</v>
      </c>
      <c r="E80" s="538" t="s">
        <v>32</v>
      </c>
      <c r="F80" s="538"/>
      <c r="G80" s="529"/>
      <c r="H80" s="530"/>
      <c r="I80" s="531"/>
      <c r="J80" s="131" t="s">
        <v>33</v>
      </c>
      <c r="K80" s="132"/>
      <c r="L80" s="90" t="s">
        <v>28</v>
      </c>
      <c r="M80" s="119">
        <v>900</v>
      </c>
    </row>
    <row r="81" spans="1:13" s="152" customFormat="1" ht="15.75" thickBot="1">
      <c r="A81" s="521"/>
      <c r="B81" s="683" t="s">
        <v>726</v>
      </c>
      <c r="C81" s="742" t="s">
        <v>725</v>
      </c>
      <c r="D81" s="693">
        <v>43369</v>
      </c>
      <c r="E81" s="93"/>
      <c r="F81" s="726" t="s">
        <v>727</v>
      </c>
      <c r="G81" s="154"/>
      <c r="H81" s="155"/>
      <c r="I81" s="156"/>
      <c r="J81" s="131" t="s">
        <v>136</v>
      </c>
      <c r="K81" s="132"/>
      <c r="L81" s="90" t="s">
        <v>28</v>
      </c>
      <c r="M81" s="119">
        <v>295</v>
      </c>
    </row>
    <row r="82" spans="1:13" s="152" customFormat="1" ht="23.25" thickBot="1">
      <c r="A82" s="521"/>
      <c r="B82" s="789"/>
      <c r="C82" s="742"/>
      <c r="D82" s="693"/>
      <c r="E82" s="93"/>
      <c r="F82" s="793"/>
      <c r="G82" s="154"/>
      <c r="H82" s="155"/>
      <c r="I82" s="156"/>
      <c r="J82" s="131" t="s">
        <v>127</v>
      </c>
      <c r="K82" s="132"/>
      <c r="L82" s="90" t="s">
        <v>28</v>
      </c>
      <c r="M82" s="119">
        <v>200</v>
      </c>
    </row>
    <row r="83" spans="1:13" s="152" customFormat="1" ht="15.75" thickBot="1">
      <c r="A83" s="522"/>
      <c r="B83" s="790"/>
      <c r="C83" s="791"/>
      <c r="D83" s="792"/>
      <c r="E83" s="208"/>
      <c r="F83" s="794"/>
      <c r="G83" s="595"/>
      <c r="H83" s="596"/>
      <c r="I83" s="597"/>
      <c r="J83" s="210" t="s">
        <v>728</v>
      </c>
      <c r="K83" s="274"/>
      <c r="L83" s="211" t="s">
        <v>28</v>
      </c>
      <c r="M83" s="297">
        <v>98.85</v>
      </c>
    </row>
    <row r="84" spans="1:13" s="152" customFormat="1" ht="24" customHeight="1" thickTop="1" thickBot="1">
      <c r="A84" s="518">
        <f>A83+114</f>
        <v>114</v>
      </c>
      <c r="B84" s="150" t="s">
        <v>19</v>
      </c>
      <c r="C84" s="150" t="s">
        <v>20</v>
      </c>
      <c r="D84" s="150" t="s">
        <v>21</v>
      </c>
      <c r="E84" s="523" t="s">
        <v>22</v>
      </c>
      <c r="F84" s="523"/>
      <c r="G84" s="565" t="s">
        <v>12</v>
      </c>
      <c r="H84" s="566"/>
      <c r="I84" s="567"/>
      <c r="J84" s="126" t="s">
        <v>39</v>
      </c>
      <c r="K84" s="127"/>
      <c r="L84" s="127"/>
      <c r="M84" s="22"/>
    </row>
    <row r="85" spans="1:13" s="152" customFormat="1" ht="45.75" thickBot="1">
      <c r="A85" s="521"/>
      <c r="B85" s="128" t="s">
        <v>729</v>
      </c>
      <c r="C85" s="128" t="s">
        <v>730</v>
      </c>
      <c r="D85" s="129">
        <v>43260</v>
      </c>
      <c r="E85" s="128"/>
      <c r="F85" s="128" t="s">
        <v>731</v>
      </c>
      <c r="G85" s="524" t="s">
        <v>732</v>
      </c>
      <c r="H85" s="525"/>
      <c r="I85" s="526"/>
      <c r="J85" s="130" t="s">
        <v>733</v>
      </c>
      <c r="K85" s="130" t="s">
        <v>42</v>
      </c>
      <c r="L85" s="130"/>
      <c r="M85" s="65">
        <v>1185</v>
      </c>
    </row>
    <row r="86" spans="1:13" s="152" customFormat="1" ht="23.25" thickBot="1">
      <c r="A86" s="521"/>
      <c r="B86" s="153" t="s">
        <v>29</v>
      </c>
      <c r="C86" s="153" t="s">
        <v>30</v>
      </c>
      <c r="D86" s="153" t="s">
        <v>31</v>
      </c>
      <c r="E86" s="527" t="s">
        <v>32</v>
      </c>
      <c r="F86" s="527"/>
      <c r="G86" s="529"/>
      <c r="H86" s="530"/>
      <c r="I86" s="531"/>
      <c r="J86" s="131" t="s">
        <v>734</v>
      </c>
      <c r="K86" s="132" t="s">
        <v>42</v>
      </c>
      <c r="L86" s="132"/>
      <c r="M86" s="66">
        <v>315</v>
      </c>
    </row>
    <row r="87" spans="1:13" s="152" customFormat="1" ht="34.5" thickBot="1">
      <c r="A87" s="522"/>
      <c r="B87" s="133" t="s">
        <v>735</v>
      </c>
      <c r="C87" s="133" t="s">
        <v>736</v>
      </c>
      <c r="D87" s="144">
        <v>43261</v>
      </c>
      <c r="E87" s="135" t="s">
        <v>36</v>
      </c>
      <c r="F87" s="25" t="s">
        <v>737</v>
      </c>
      <c r="G87" s="582"/>
      <c r="H87" s="583"/>
      <c r="I87" s="584"/>
      <c r="J87" s="131" t="s">
        <v>738</v>
      </c>
      <c r="K87" s="132"/>
      <c r="L87" s="132" t="s">
        <v>42</v>
      </c>
      <c r="M87" s="66">
        <v>70</v>
      </c>
    </row>
    <row r="88" spans="1:13" s="152" customFormat="1" ht="24" customHeight="1" thickTop="1" thickBot="1">
      <c r="A88" s="518">
        <f>A87+115</f>
        <v>115</v>
      </c>
      <c r="B88" s="150" t="s">
        <v>19</v>
      </c>
      <c r="C88" s="150" t="s">
        <v>20</v>
      </c>
      <c r="D88" s="150" t="s">
        <v>21</v>
      </c>
      <c r="E88" s="523" t="s">
        <v>22</v>
      </c>
      <c r="F88" s="523"/>
      <c r="G88" s="523" t="s">
        <v>12</v>
      </c>
      <c r="H88" s="528"/>
      <c r="I88" s="164"/>
      <c r="J88" s="126" t="s">
        <v>39</v>
      </c>
      <c r="K88" s="127"/>
      <c r="L88" s="127"/>
      <c r="M88" s="22"/>
    </row>
    <row r="89" spans="1:13" s="152" customFormat="1" ht="45.75" thickBot="1">
      <c r="A89" s="521"/>
      <c r="B89" s="128" t="s">
        <v>739</v>
      </c>
      <c r="C89" s="128" t="s">
        <v>740</v>
      </c>
      <c r="D89" s="129">
        <v>43195</v>
      </c>
      <c r="E89" s="128"/>
      <c r="F89" s="128" t="s">
        <v>741</v>
      </c>
      <c r="G89" s="524" t="s">
        <v>742</v>
      </c>
      <c r="H89" s="525"/>
      <c r="I89" s="526"/>
      <c r="J89" s="130" t="s">
        <v>27</v>
      </c>
      <c r="K89" s="130" t="s">
        <v>42</v>
      </c>
      <c r="L89" s="130"/>
      <c r="M89" s="65">
        <v>329</v>
      </c>
    </row>
    <row r="90" spans="1:13" s="152" customFormat="1" ht="23.25" thickBot="1">
      <c r="A90" s="521"/>
      <c r="B90" s="153" t="s">
        <v>29</v>
      </c>
      <c r="C90" s="153" t="s">
        <v>30</v>
      </c>
      <c r="D90" s="153" t="s">
        <v>31</v>
      </c>
      <c r="E90" s="527" t="s">
        <v>32</v>
      </c>
      <c r="F90" s="527"/>
      <c r="G90" s="529"/>
      <c r="H90" s="530"/>
      <c r="I90" s="531"/>
      <c r="J90" s="131" t="s">
        <v>40</v>
      </c>
      <c r="K90" s="132"/>
      <c r="L90" s="132"/>
      <c r="M90" s="24"/>
    </row>
    <row r="91" spans="1:13" s="152" customFormat="1" ht="45.75" thickBot="1">
      <c r="A91" s="522"/>
      <c r="B91" s="133" t="s">
        <v>743</v>
      </c>
      <c r="C91" s="133" t="s">
        <v>744</v>
      </c>
      <c r="D91" s="144">
        <v>43198</v>
      </c>
      <c r="E91" s="135" t="s">
        <v>36</v>
      </c>
      <c r="F91" s="136" t="s">
        <v>745</v>
      </c>
      <c r="G91" s="539"/>
      <c r="H91" s="540"/>
      <c r="I91" s="541"/>
      <c r="J91" s="131" t="s">
        <v>41</v>
      </c>
      <c r="K91" s="132"/>
      <c r="L91" s="132"/>
      <c r="M91" s="24"/>
    </row>
    <row r="92" spans="1:13" s="152" customFormat="1" ht="24" customHeight="1" thickTop="1" thickBot="1">
      <c r="A92" s="518">
        <f>A91+116</f>
        <v>116</v>
      </c>
      <c r="B92" s="150" t="s">
        <v>19</v>
      </c>
      <c r="C92" s="150" t="s">
        <v>20</v>
      </c>
      <c r="D92" s="150" t="s">
        <v>21</v>
      </c>
      <c r="E92" s="523" t="s">
        <v>22</v>
      </c>
      <c r="F92" s="523"/>
      <c r="G92" s="523" t="s">
        <v>12</v>
      </c>
      <c r="H92" s="528"/>
      <c r="I92" s="164"/>
      <c r="J92" s="126" t="s">
        <v>39</v>
      </c>
      <c r="K92" s="127"/>
      <c r="L92" s="127"/>
      <c r="M92" s="22"/>
    </row>
    <row r="93" spans="1:13" s="152" customFormat="1" ht="45.75" thickBot="1">
      <c r="A93" s="521"/>
      <c r="B93" s="128" t="s">
        <v>746</v>
      </c>
      <c r="C93" s="128" t="s">
        <v>740</v>
      </c>
      <c r="D93" s="129">
        <v>43195</v>
      </c>
      <c r="E93" s="128"/>
      <c r="F93" s="128" t="s">
        <v>741</v>
      </c>
      <c r="G93" s="524" t="s">
        <v>742</v>
      </c>
      <c r="H93" s="525"/>
      <c r="I93" s="526"/>
      <c r="J93" s="130" t="s">
        <v>27</v>
      </c>
      <c r="K93" s="130" t="s">
        <v>42</v>
      </c>
      <c r="L93" s="130"/>
      <c r="M93" s="65">
        <v>329</v>
      </c>
    </row>
    <row r="94" spans="1:13" s="152" customFormat="1" ht="23.25" thickBot="1">
      <c r="A94" s="521"/>
      <c r="B94" s="153" t="s">
        <v>29</v>
      </c>
      <c r="C94" s="153" t="s">
        <v>30</v>
      </c>
      <c r="D94" s="153" t="s">
        <v>31</v>
      </c>
      <c r="E94" s="527" t="s">
        <v>32</v>
      </c>
      <c r="F94" s="527"/>
      <c r="G94" s="529"/>
      <c r="H94" s="530"/>
      <c r="I94" s="531"/>
      <c r="J94" s="131" t="s">
        <v>98</v>
      </c>
      <c r="K94" s="132" t="s">
        <v>42</v>
      </c>
      <c r="L94" s="132"/>
      <c r="M94" s="66">
        <v>79</v>
      </c>
    </row>
    <row r="95" spans="1:13" s="152" customFormat="1" ht="23.25" thickBot="1">
      <c r="A95" s="522"/>
      <c r="B95" s="133" t="s">
        <v>747</v>
      </c>
      <c r="C95" s="133" t="s">
        <v>744</v>
      </c>
      <c r="D95" s="144">
        <v>43198</v>
      </c>
      <c r="E95" s="135" t="s">
        <v>36</v>
      </c>
      <c r="F95" s="25" t="s">
        <v>748</v>
      </c>
      <c r="G95" s="539"/>
      <c r="H95" s="540"/>
      <c r="I95" s="541"/>
      <c r="J95" s="131" t="s">
        <v>41</v>
      </c>
      <c r="K95" s="132"/>
      <c r="L95" s="132"/>
      <c r="M95" s="24"/>
    </row>
    <row r="96" spans="1:13" s="152" customFormat="1" ht="24" customHeight="1" thickTop="1" thickBot="1">
      <c r="A96" s="518">
        <f>A95+117</f>
        <v>117</v>
      </c>
      <c r="B96" s="150" t="s">
        <v>19</v>
      </c>
      <c r="C96" s="150" t="s">
        <v>20</v>
      </c>
      <c r="D96" s="150" t="s">
        <v>21</v>
      </c>
      <c r="E96" s="523" t="s">
        <v>22</v>
      </c>
      <c r="F96" s="523"/>
      <c r="G96" s="523" t="s">
        <v>12</v>
      </c>
      <c r="H96" s="528"/>
      <c r="I96" s="164"/>
      <c r="J96" s="126" t="s">
        <v>39</v>
      </c>
      <c r="K96" s="127"/>
      <c r="L96" s="127"/>
      <c r="M96" s="22"/>
    </row>
    <row r="97" spans="1:13" s="152" customFormat="1" ht="45.75" thickBot="1">
      <c r="A97" s="521"/>
      <c r="B97" s="128" t="s">
        <v>749</v>
      </c>
      <c r="C97" s="69" t="s">
        <v>740</v>
      </c>
      <c r="D97" s="129">
        <v>43195</v>
      </c>
      <c r="E97" s="128"/>
      <c r="F97" s="128" t="s">
        <v>741</v>
      </c>
      <c r="G97" s="524" t="s">
        <v>742</v>
      </c>
      <c r="H97" s="525"/>
      <c r="I97" s="526"/>
      <c r="J97" s="130" t="s">
        <v>27</v>
      </c>
      <c r="K97" s="130" t="s">
        <v>42</v>
      </c>
      <c r="L97" s="130"/>
      <c r="M97" s="145">
        <v>328.74</v>
      </c>
    </row>
    <row r="98" spans="1:13" s="152" customFormat="1" ht="23.25" thickBot="1">
      <c r="A98" s="521"/>
      <c r="B98" s="153" t="s">
        <v>29</v>
      </c>
      <c r="C98" s="153" t="s">
        <v>30</v>
      </c>
      <c r="D98" s="153" t="s">
        <v>31</v>
      </c>
      <c r="E98" s="527" t="s">
        <v>32</v>
      </c>
      <c r="F98" s="527"/>
      <c r="G98" s="529"/>
      <c r="H98" s="530"/>
      <c r="I98" s="531"/>
      <c r="J98" s="131" t="s">
        <v>40</v>
      </c>
      <c r="K98" s="132"/>
      <c r="L98" s="132"/>
      <c r="M98" s="24"/>
    </row>
    <row r="99" spans="1:13" s="152" customFormat="1" ht="23.25" thickBot="1">
      <c r="A99" s="522"/>
      <c r="B99" s="133" t="s">
        <v>750</v>
      </c>
      <c r="C99" s="133" t="s">
        <v>744</v>
      </c>
      <c r="D99" s="144">
        <v>43198</v>
      </c>
      <c r="E99" s="135" t="s">
        <v>36</v>
      </c>
      <c r="F99" s="25" t="s">
        <v>748</v>
      </c>
      <c r="G99" s="539"/>
      <c r="H99" s="540"/>
      <c r="I99" s="541"/>
      <c r="J99" s="131" t="s">
        <v>41</v>
      </c>
      <c r="K99" s="132"/>
      <c r="L99" s="132"/>
      <c r="M99" s="24"/>
    </row>
    <row r="100" spans="1:13" s="152" customFormat="1" ht="24" customHeight="1" thickTop="1" thickBot="1">
      <c r="A100" s="518">
        <f>A99+118</f>
        <v>118</v>
      </c>
      <c r="B100" s="150" t="s">
        <v>19</v>
      </c>
      <c r="C100" s="150" t="s">
        <v>20</v>
      </c>
      <c r="D100" s="150" t="s">
        <v>21</v>
      </c>
      <c r="E100" s="523" t="s">
        <v>22</v>
      </c>
      <c r="F100" s="523"/>
      <c r="G100" s="523" t="s">
        <v>12</v>
      </c>
      <c r="H100" s="528"/>
      <c r="I100" s="164"/>
      <c r="J100" s="126" t="s">
        <v>39</v>
      </c>
      <c r="K100" s="127"/>
      <c r="L100" s="127"/>
      <c r="M100" s="22"/>
    </row>
    <row r="101" spans="1:13" s="152" customFormat="1" ht="45.75" thickBot="1">
      <c r="A101" s="521"/>
      <c r="B101" s="128" t="s">
        <v>751</v>
      </c>
      <c r="C101" s="69" t="s">
        <v>740</v>
      </c>
      <c r="D101" s="129">
        <v>43195</v>
      </c>
      <c r="E101" s="128"/>
      <c r="F101" s="128" t="s">
        <v>741</v>
      </c>
      <c r="G101" s="524" t="s">
        <v>742</v>
      </c>
      <c r="H101" s="525"/>
      <c r="I101" s="526"/>
      <c r="J101" s="130" t="s">
        <v>98</v>
      </c>
      <c r="K101" s="130" t="s">
        <v>42</v>
      </c>
      <c r="L101" s="130"/>
      <c r="M101" s="145">
        <v>109.25</v>
      </c>
    </row>
    <row r="102" spans="1:13" s="152" customFormat="1" ht="23.25" thickBot="1">
      <c r="A102" s="521"/>
      <c r="B102" s="153" t="s">
        <v>29</v>
      </c>
      <c r="C102" s="153" t="s">
        <v>30</v>
      </c>
      <c r="D102" s="153" t="s">
        <v>31</v>
      </c>
      <c r="E102" s="527" t="s">
        <v>32</v>
      </c>
      <c r="F102" s="527"/>
      <c r="G102" s="529"/>
      <c r="H102" s="530"/>
      <c r="I102" s="531"/>
      <c r="J102" s="131" t="s">
        <v>40</v>
      </c>
      <c r="K102" s="132"/>
      <c r="L102" s="132"/>
      <c r="M102" s="24"/>
    </row>
    <row r="103" spans="1:13" s="152" customFormat="1" ht="23.25" thickBot="1">
      <c r="A103" s="522"/>
      <c r="B103" s="133" t="s">
        <v>752</v>
      </c>
      <c r="C103" s="75" t="s">
        <v>744</v>
      </c>
      <c r="D103" s="144">
        <v>43198</v>
      </c>
      <c r="E103" s="135" t="s">
        <v>36</v>
      </c>
      <c r="F103" s="77" t="s">
        <v>748</v>
      </c>
      <c r="G103" s="539"/>
      <c r="H103" s="540"/>
      <c r="I103" s="541"/>
      <c r="J103" s="131" t="s">
        <v>41</v>
      </c>
      <c r="K103" s="132"/>
      <c r="L103" s="132"/>
      <c r="M103" s="24"/>
    </row>
    <row r="104" spans="1:13" s="152" customFormat="1" ht="24" customHeight="1" thickTop="1" thickBot="1">
      <c r="A104" s="518">
        <f>A103+119</f>
        <v>119</v>
      </c>
      <c r="B104" s="150" t="s">
        <v>19</v>
      </c>
      <c r="C104" s="150" t="s">
        <v>20</v>
      </c>
      <c r="D104" s="150" t="s">
        <v>21</v>
      </c>
      <c r="E104" s="523" t="s">
        <v>22</v>
      </c>
      <c r="F104" s="523"/>
      <c r="G104" s="523" t="s">
        <v>12</v>
      </c>
      <c r="H104" s="528"/>
      <c r="I104" s="164"/>
      <c r="J104" s="126" t="s">
        <v>39</v>
      </c>
      <c r="K104" s="127"/>
      <c r="L104" s="127"/>
      <c r="M104" s="22"/>
    </row>
    <row r="105" spans="1:13" s="152" customFormat="1" ht="45.75" thickBot="1">
      <c r="A105" s="521"/>
      <c r="B105" s="128" t="s">
        <v>739</v>
      </c>
      <c r="C105" s="128" t="s">
        <v>753</v>
      </c>
      <c r="D105" s="129">
        <v>43337</v>
      </c>
      <c r="E105" s="128"/>
      <c r="F105" s="128" t="s">
        <v>177</v>
      </c>
      <c r="G105" s="524" t="s">
        <v>742</v>
      </c>
      <c r="H105" s="525"/>
      <c r="I105" s="526"/>
      <c r="J105" s="130" t="s">
        <v>27</v>
      </c>
      <c r="K105" s="130" t="s">
        <v>42</v>
      </c>
      <c r="L105" s="130"/>
      <c r="M105" s="65">
        <v>620</v>
      </c>
    </row>
    <row r="106" spans="1:13" s="152" customFormat="1" ht="23.25" thickBot="1">
      <c r="A106" s="521"/>
      <c r="B106" s="153" t="s">
        <v>29</v>
      </c>
      <c r="C106" s="153" t="s">
        <v>30</v>
      </c>
      <c r="D106" s="153" t="s">
        <v>31</v>
      </c>
      <c r="E106" s="527" t="s">
        <v>32</v>
      </c>
      <c r="F106" s="527"/>
      <c r="G106" s="529"/>
      <c r="H106" s="530"/>
      <c r="I106" s="531"/>
      <c r="J106" s="131" t="s">
        <v>40</v>
      </c>
      <c r="K106" s="132"/>
      <c r="L106" s="132"/>
      <c r="M106" s="24"/>
    </row>
    <row r="107" spans="1:13" s="152" customFormat="1" ht="45.75" thickBot="1">
      <c r="A107" s="522"/>
      <c r="B107" s="133" t="s">
        <v>743</v>
      </c>
      <c r="C107" s="133" t="s">
        <v>754</v>
      </c>
      <c r="D107" s="144">
        <v>43342</v>
      </c>
      <c r="E107" s="135" t="s">
        <v>36</v>
      </c>
      <c r="F107" s="25" t="s">
        <v>755</v>
      </c>
      <c r="G107" s="539"/>
      <c r="H107" s="540"/>
      <c r="I107" s="541"/>
      <c r="J107" s="131" t="s">
        <v>41</v>
      </c>
      <c r="K107" s="132"/>
      <c r="L107" s="132"/>
      <c r="M107" s="24"/>
    </row>
    <row r="108" spans="1:13" s="152" customFormat="1" ht="24" customHeight="1" thickTop="1" thickBot="1">
      <c r="A108" s="518">
        <f>A107+120</f>
        <v>120</v>
      </c>
      <c r="B108" s="150" t="s">
        <v>19</v>
      </c>
      <c r="C108" s="150" t="s">
        <v>20</v>
      </c>
      <c r="D108" s="150" t="s">
        <v>21</v>
      </c>
      <c r="E108" s="523" t="s">
        <v>22</v>
      </c>
      <c r="F108" s="523"/>
      <c r="G108" s="523" t="s">
        <v>12</v>
      </c>
      <c r="H108" s="528"/>
      <c r="I108" s="164"/>
      <c r="J108" s="126" t="s">
        <v>39</v>
      </c>
      <c r="K108" s="127"/>
      <c r="L108" s="127"/>
      <c r="M108" s="22"/>
    </row>
    <row r="109" spans="1:13" s="152" customFormat="1" ht="45.75" thickBot="1">
      <c r="A109" s="521"/>
      <c r="B109" s="128" t="s">
        <v>751</v>
      </c>
      <c r="C109" s="128" t="s">
        <v>753</v>
      </c>
      <c r="D109" s="129">
        <v>43337</v>
      </c>
      <c r="E109" s="128"/>
      <c r="F109" s="128" t="s">
        <v>177</v>
      </c>
      <c r="G109" s="524" t="s">
        <v>742</v>
      </c>
      <c r="H109" s="525"/>
      <c r="I109" s="526"/>
      <c r="J109" s="130" t="s">
        <v>557</v>
      </c>
      <c r="K109" s="130" t="s">
        <v>42</v>
      </c>
      <c r="L109" s="130"/>
      <c r="M109" s="145">
        <v>350</v>
      </c>
    </row>
    <row r="110" spans="1:13" s="152" customFormat="1" ht="23.25" thickBot="1">
      <c r="A110" s="521"/>
      <c r="B110" s="153" t="s">
        <v>29</v>
      </c>
      <c r="C110" s="153" t="s">
        <v>30</v>
      </c>
      <c r="D110" s="153" t="s">
        <v>31</v>
      </c>
      <c r="E110" s="527" t="s">
        <v>32</v>
      </c>
      <c r="F110" s="527"/>
      <c r="G110" s="529"/>
      <c r="H110" s="530"/>
      <c r="I110" s="531"/>
      <c r="J110" s="131" t="s">
        <v>40</v>
      </c>
      <c r="K110" s="132"/>
      <c r="L110" s="132"/>
      <c r="M110" s="24"/>
    </row>
    <row r="111" spans="1:13" s="152" customFormat="1" ht="23.25" thickBot="1">
      <c r="A111" s="522"/>
      <c r="B111" s="133" t="s">
        <v>756</v>
      </c>
      <c r="C111" s="133" t="s">
        <v>754</v>
      </c>
      <c r="D111" s="144">
        <v>43342</v>
      </c>
      <c r="E111" s="135" t="s">
        <v>36</v>
      </c>
      <c r="F111" s="25" t="s">
        <v>755</v>
      </c>
      <c r="G111" s="539"/>
      <c r="H111" s="540"/>
      <c r="I111" s="541"/>
      <c r="J111" s="131" t="s">
        <v>41</v>
      </c>
      <c r="K111" s="132"/>
      <c r="L111" s="132"/>
      <c r="M111" s="24"/>
    </row>
    <row r="112" spans="1:13" s="152" customFormat="1" ht="24" customHeight="1" thickTop="1" thickBot="1">
      <c r="A112" s="518">
        <f>A111+121</f>
        <v>121</v>
      </c>
      <c r="B112" s="150" t="s">
        <v>19</v>
      </c>
      <c r="C112" s="150" t="s">
        <v>20</v>
      </c>
      <c r="D112" s="150" t="s">
        <v>21</v>
      </c>
      <c r="E112" s="523" t="s">
        <v>22</v>
      </c>
      <c r="F112" s="523"/>
      <c r="G112" s="523" t="s">
        <v>12</v>
      </c>
      <c r="H112" s="528"/>
      <c r="I112" s="164"/>
      <c r="J112" s="126" t="s">
        <v>39</v>
      </c>
      <c r="K112" s="127"/>
      <c r="L112" s="127"/>
      <c r="M112" s="22"/>
    </row>
    <row r="113" spans="1:13" s="152" customFormat="1" ht="45.75" thickBot="1">
      <c r="A113" s="521"/>
      <c r="B113" s="128" t="s">
        <v>757</v>
      </c>
      <c r="C113" s="69" t="s">
        <v>753</v>
      </c>
      <c r="D113" s="129">
        <v>43337</v>
      </c>
      <c r="E113" s="128"/>
      <c r="F113" s="128" t="s">
        <v>177</v>
      </c>
      <c r="G113" s="524" t="s">
        <v>742</v>
      </c>
      <c r="H113" s="525"/>
      <c r="I113" s="526"/>
      <c r="J113" s="130" t="s">
        <v>557</v>
      </c>
      <c r="K113" s="130" t="s">
        <v>42</v>
      </c>
      <c r="L113" s="130"/>
      <c r="M113" s="145">
        <v>350</v>
      </c>
    </row>
    <row r="114" spans="1:13" s="152" customFormat="1" ht="23.25" thickBot="1">
      <c r="A114" s="521"/>
      <c r="B114" s="153" t="s">
        <v>29</v>
      </c>
      <c r="C114" s="153" t="s">
        <v>30</v>
      </c>
      <c r="D114" s="153" t="s">
        <v>31</v>
      </c>
      <c r="E114" s="527" t="s">
        <v>32</v>
      </c>
      <c r="F114" s="527"/>
      <c r="G114" s="529"/>
      <c r="H114" s="530"/>
      <c r="I114" s="531"/>
      <c r="J114" s="131" t="s">
        <v>27</v>
      </c>
      <c r="K114" s="132" t="s">
        <v>42</v>
      </c>
      <c r="L114" s="132"/>
      <c r="M114" s="66">
        <v>372</v>
      </c>
    </row>
    <row r="115" spans="1:13" s="152" customFormat="1" ht="23.25" thickBot="1">
      <c r="A115" s="522"/>
      <c r="B115" s="133" t="s">
        <v>758</v>
      </c>
      <c r="C115" s="133" t="s">
        <v>754</v>
      </c>
      <c r="D115" s="144">
        <v>43342</v>
      </c>
      <c r="E115" s="135" t="s">
        <v>36</v>
      </c>
      <c r="F115" s="25" t="s">
        <v>755</v>
      </c>
      <c r="G115" s="539"/>
      <c r="H115" s="540"/>
      <c r="I115" s="541"/>
      <c r="J115" s="131" t="s">
        <v>41</v>
      </c>
      <c r="K115" s="132"/>
      <c r="L115" s="132"/>
      <c r="M115" s="24"/>
    </row>
    <row r="116" spans="1:13" s="152" customFormat="1" ht="24" customHeight="1" thickTop="1" thickBot="1">
      <c r="A116" s="518">
        <f>A115+122</f>
        <v>122</v>
      </c>
      <c r="B116" s="150" t="s">
        <v>19</v>
      </c>
      <c r="C116" s="150" t="s">
        <v>20</v>
      </c>
      <c r="D116" s="150" t="s">
        <v>21</v>
      </c>
      <c r="E116" s="523" t="s">
        <v>22</v>
      </c>
      <c r="F116" s="523"/>
      <c r="G116" s="523" t="s">
        <v>12</v>
      </c>
      <c r="H116" s="528"/>
      <c r="I116" s="164"/>
      <c r="J116" s="126" t="s">
        <v>39</v>
      </c>
      <c r="K116" s="127"/>
      <c r="L116" s="127"/>
      <c r="M116" s="22"/>
    </row>
    <row r="117" spans="1:13" s="152" customFormat="1" ht="45.75" thickBot="1">
      <c r="A117" s="521"/>
      <c r="B117" s="128" t="s">
        <v>746</v>
      </c>
      <c r="C117" s="69" t="s">
        <v>753</v>
      </c>
      <c r="D117" s="129">
        <v>43337</v>
      </c>
      <c r="E117" s="128"/>
      <c r="F117" s="128" t="s">
        <v>177</v>
      </c>
      <c r="G117" s="524" t="s">
        <v>742</v>
      </c>
      <c r="H117" s="525"/>
      <c r="I117" s="526"/>
      <c r="J117" s="130" t="s">
        <v>759</v>
      </c>
      <c r="K117" s="130" t="s">
        <v>42</v>
      </c>
      <c r="L117" s="130"/>
      <c r="M117" s="65">
        <v>84</v>
      </c>
    </row>
    <row r="118" spans="1:13" s="152" customFormat="1" ht="23.25" thickBot="1">
      <c r="A118" s="521"/>
      <c r="B118" s="153" t="s">
        <v>29</v>
      </c>
      <c r="C118" s="153" t="s">
        <v>30</v>
      </c>
      <c r="D118" s="153" t="s">
        <v>31</v>
      </c>
      <c r="E118" s="527" t="s">
        <v>32</v>
      </c>
      <c r="F118" s="527"/>
      <c r="G118" s="529"/>
      <c r="H118" s="530"/>
      <c r="I118" s="531"/>
      <c r="J118" s="131" t="s">
        <v>40</v>
      </c>
      <c r="K118" s="132"/>
      <c r="L118" s="132"/>
      <c r="M118" s="24"/>
    </row>
    <row r="119" spans="1:13" s="152" customFormat="1" ht="23.25" thickBot="1">
      <c r="A119" s="522"/>
      <c r="B119" s="133" t="s">
        <v>760</v>
      </c>
      <c r="C119" s="75" t="s">
        <v>754</v>
      </c>
      <c r="D119" s="144">
        <v>43342</v>
      </c>
      <c r="E119" s="135" t="s">
        <v>36</v>
      </c>
      <c r="F119" s="25" t="s">
        <v>755</v>
      </c>
      <c r="G119" s="539"/>
      <c r="H119" s="540"/>
      <c r="I119" s="541"/>
      <c r="J119" s="131" t="s">
        <v>41</v>
      </c>
      <c r="K119" s="132"/>
      <c r="L119" s="132"/>
      <c r="M119" s="24"/>
    </row>
    <row r="120" spans="1:13" s="152" customFormat="1" ht="24" customHeight="1" thickTop="1" thickBot="1">
      <c r="A120" s="518">
        <f>A119+123</f>
        <v>123</v>
      </c>
      <c r="B120" s="150" t="s">
        <v>19</v>
      </c>
      <c r="C120" s="150" t="s">
        <v>20</v>
      </c>
      <c r="D120" s="150" t="s">
        <v>21</v>
      </c>
      <c r="E120" s="523" t="s">
        <v>22</v>
      </c>
      <c r="F120" s="523"/>
      <c r="G120" s="565" t="s">
        <v>12</v>
      </c>
      <c r="H120" s="566"/>
      <c r="I120" s="567"/>
      <c r="J120" s="126" t="s">
        <v>39</v>
      </c>
      <c r="K120" s="127"/>
      <c r="L120" s="127"/>
      <c r="M120" s="137"/>
    </row>
    <row r="121" spans="1:13" s="152" customFormat="1" ht="23.25" thickBot="1">
      <c r="A121" s="521"/>
      <c r="B121" s="128" t="s">
        <v>761</v>
      </c>
      <c r="C121" s="128" t="s">
        <v>762</v>
      </c>
      <c r="D121" s="129">
        <v>43383</v>
      </c>
      <c r="E121" s="128"/>
      <c r="F121" s="128" t="s">
        <v>763</v>
      </c>
      <c r="G121" s="524" t="s">
        <v>764</v>
      </c>
      <c r="H121" s="585"/>
      <c r="I121" s="586"/>
      <c r="J121" s="130" t="s">
        <v>765</v>
      </c>
      <c r="K121" s="130"/>
      <c r="L121" s="87" t="s">
        <v>28</v>
      </c>
      <c r="M121" s="65">
        <v>593</v>
      </c>
    </row>
    <row r="122" spans="1:13" s="152" customFormat="1" ht="23.25" thickBot="1">
      <c r="A122" s="521"/>
      <c r="B122" s="153" t="s">
        <v>29</v>
      </c>
      <c r="C122" s="153" t="s">
        <v>30</v>
      </c>
      <c r="D122" s="153" t="s">
        <v>31</v>
      </c>
      <c r="E122" s="580" t="s">
        <v>32</v>
      </c>
      <c r="F122" s="581"/>
      <c r="G122" s="529"/>
      <c r="H122" s="530"/>
      <c r="I122" s="531"/>
      <c r="J122" s="131" t="s">
        <v>40</v>
      </c>
      <c r="K122" s="132"/>
      <c r="L122" s="132"/>
      <c r="M122" s="138"/>
    </row>
    <row r="123" spans="1:13" s="152" customFormat="1" ht="23.25" thickBot="1">
      <c r="A123" s="522"/>
      <c r="B123" s="133" t="s">
        <v>766</v>
      </c>
      <c r="C123" s="133" t="s">
        <v>764</v>
      </c>
      <c r="D123" s="144">
        <v>43384</v>
      </c>
      <c r="E123" s="135" t="s">
        <v>36</v>
      </c>
      <c r="F123" s="136" t="s">
        <v>767</v>
      </c>
      <c r="G123" s="582"/>
      <c r="H123" s="583"/>
      <c r="I123" s="584"/>
      <c r="J123" s="131" t="s">
        <v>41</v>
      </c>
      <c r="K123" s="132"/>
      <c r="L123" s="132"/>
      <c r="M123" s="138"/>
    </row>
    <row r="124" spans="1:13" s="152" customFormat="1" ht="24" customHeight="1" thickTop="1" thickBot="1">
      <c r="A124" s="518">
        <f>A123+124</f>
        <v>124</v>
      </c>
      <c r="B124" s="150" t="s">
        <v>19</v>
      </c>
      <c r="C124" s="150" t="s">
        <v>20</v>
      </c>
      <c r="D124" s="150" t="s">
        <v>21</v>
      </c>
      <c r="E124" s="523" t="s">
        <v>22</v>
      </c>
      <c r="F124" s="523"/>
      <c r="G124" s="565" t="s">
        <v>12</v>
      </c>
      <c r="H124" s="566"/>
      <c r="I124" s="567"/>
      <c r="J124" s="126" t="s">
        <v>39</v>
      </c>
      <c r="K124" s="127"/>
      <c r="L124" s="127"/>
      <c r="M124" s="22"/>
    </row>
    <row r="125" spans="1:13" s="152" customFormat="1" ht="34.5" thickBot="1">
      <c r="A125" s="521"/>
      <c r="B125" s="128" t="s">
        <v>768</v>
      </c>
      <c r="C125" s="128" t="s">
        <v>769</v>
      </c>
      <c r="D125" s="129">
        <v>43304</v>
      </c>
      <c r="E125" s="128"/>
      <c r="F125" s="128" t="s">
        <v>770</v>
      </c>
      <c r="G125" s="524" t="s">
        <v>771</v>
      </c>
      <c r="H125" s="525"/>
      <c r="I125" s="526"/>
      <c r="J125" s="130" t="s">
        <v>772</v>
      </c>
      <c r="K125" s="130"/>
      <c r="L125" s="130" t="s">
        <v>42</v>
      </c>
      <c r="M125" s="65">
        <v>200.9</v>
      </c>
    </row>
    <row r="126" spans="1:13" s="152" customFormat="1" ht="23.25" thickBot="1">
      <c r="A126" s="521"/>
      <c r="B126" s="153" t="s">
        <v>29</v>
      </c>
      <c r="C126" s="153" t="s">
        <v>30</v>
      </c>
      <c r="D126" s="153" t="s">
        <v>31</v>
      </c>
      <c r="E126" s="527" t="s">
        <v>32</v>
      </c>
      <c r="F126" s="527"/>
      <c r="G126" s="529"/>
      <c r="H126" s="530"/>
      <c r="I126" s="531"/>
      <c r="J126" s="131" t="s">
        <v>773</v>
      </c>
      <c r="K126" s="132"/>
      <c r="L126" s="132" t="s">
        <v>42</v>
      </c>
      <c r="M126" s="66">
        <v>713</v>
      </c>
    </row>
    <row r="127" spans="1:13" s="152" customFormat="1" ht="23.25" thickBot="1">
      <c r="A127" s="522"/>
      <c r="B127" s="133" t="s">
        <v>774</v>
      </c>
      <c r="C127" s="133" t="s">
        <v>771</v>
      </c>
      <c r="D127" s="144">
        <v>43306</v>
      </c>
      <c r="E127" s="135" t="s">
        <v>36</v>
      </c>
      <c r="F127" s="25" t="s">
        <v>775</v>
      </c>
      <c r="G127" s="582"/>
      <c r="H127" s="583"/>
      <c r="I127" s="584"/>
      <c r="J127" s="131" t="s">
        <v>776</v>
      </c>
      <c r="K127" s="132"/>
      <c r="L127" s="132"/>
      <c r="M127" s="66"/>
    </row>
    <row r="128" spans="1:13" s="152" customFormat="1" ht="24" customHeight="1" thickTop="1" thickBot="1">
      <c r="A128" s="518">
        <f>A127+125</f>
        <v>125</v>
      </c>
      <c r="B128" s="150" t="s">
        <v>19</v>
      </c>
      <c r="C128" s="150" t="s">
        <v>20</v>
      </c>
      <c r="D128" s="150" t="s">
        <v>21</v>
      </c>
      <c r="E128" s="523" t="s">
        <v>22</v>
      </c>
      <c r="F128" s="523"/>
      <c r="G128" s="523" t="s">
        <v>12</v>
      </c>
      <c r="H128" s="528"/>
      <c r="I128" s="164"/>
      <c r="J128" s="126" t="s">
        <v>39</v>
      </c>
      <c r="K128" s="127"/>
      <c r="L128" s="127"/>
      <c r="M128" s="22"/>
    </row>
    <row r="129" spans="1:13" s="152" customFormat="1" ht="34.5" thickBot="1">
      <c r="A129" s="521"/>
      <c r="B129" s="128" t="s">
        <v>777</v>
      </c>
      <c r="C129" s="128" t="s">
        <v>778</v>
      </c>
      <c r="D129" s="129">
        <v>43223</v>
      </c>
      <c r="E129" s="128"/>
      <c r="F129" s="128" t="s">
        <v>770</v>
      </c>
      <c r="G129" s="524" t="s">
        <v>156</v>
      </c>
      <c r="H129" s="525"/>
      <c r="I129" s="526"/>
      <c r="J129" s="130" t="s">
        <v>772</v>
      </c>
      <c r="K129" s="130"/>
      <c r="L129" s="130" t="s">
        <v>42</v>
      </c>
      <c r="M129" s="65">
        <v>432.42</v>
      </c>
    </row>
    <row r="130" spans="1:13" s="152" customFormat="1" ht="23.25" thickBot="1">
      <c r="A130" s="521"/>
      <c r="B130" s="153" t="s">
        <v>29</v>
      </c>
      <c r="C130" s="153" t="s">
        <v>30</v>
      </c>
      <c r="D130" s="153" t="s">
        <v>31</v>
      </c>
      <c r="E130" s="527" t="s">
        <v>32</v>
      </c>
      <c r="F130" s="527"/>
      <c r="G130" s="529"/>
      <c r="H130" s="530"/>
      <c r="I130" s="531"/>
      <c r="J130" s="131" t="s">
        <v>773</v>
      </c>
      <c r="K130" s="132"/>
      <c r="L130" s="132" t="s">
        <v>42</v>
      </c>
      <c r="M130" s="66">
        <v>595.6</v>
      </c>
    </row>
    <row r="131" spans="1:13" s="152" customFormat="1" ht="23.25" thickBot="1">
      <c r="A131" s="522"/>
      <c r="B131" s="133" t="s">
        <v>779</v>
      </c>
      <c r="C131" s="133" t="s">
        <v>160</v>
      </c>
      <c r="D131" s="144">
        <v>43223</v>
      </c>
      <c r="E131" s="135" t="s">
        <v>36</v>
      </c>
      <c r="F131" s="25" t="s">
        <v>780</v>
      </c>
      <c r="G131" s="539"/>
      <c r="H131" s="540"/>
      <c r="I131" s="541"/>
      <c r="J131" s="131" t="s">
        <v>776</v>
      </c>
      <c r="K131" s="132"/>
      <c r="L131" s="132"/>
      <c r="M131" s="66"/>
    </row>
    <row r="132" spans="1:13" s="152" customFormat="1" ht="24" customHeight="1" thickTop="1" thickBot="1">
      <c r="A132" s="518">
        <f>A131+126</f>
        <v>126</v>
      </c>
      <c r="B132" s="150" t="s">
        <v>19</v>
      </c>
      <c r="C132" s="150" t="s">
        <v>20</v>
      </c>
      <c r="D132" s="150" t="s">
        <v>21</v>
      </c>
      <c r="E132" s="523" t="s">
        <v>22</v>
      </c>
      <c r="F132" s="523"/>
      <c r="G132" s="523" t="s">
        <v>12</v>
      </c>
      <c r="H132" s="528"/>
      <c r="I132" s="164"/>
      <c r="J132" s="126" t="s">
        <v>39</v>
      </c>
      <c r="K132" s="127"/>
      <c r="L132" s="127"/>
      <c r="M132" s="22"/>
    </row>
    <row r="133" spans="1:13" s="152" customFormat="1" ht="34.5" thickBot="1">
      <c r="A133" s="521"/>
      <c r="B133" s="128" t="s">
        <v>781</v>
      </c>
      <c r="C133" s="128" t="s">
        <v>782</v>
      </c>
      <c r="D133" s="129">
        <v>43222</v>
      </c>
      <c r="E133" s="128"/>
      <c r="F133" s="128" t="s">
        <v>180</v>
      </c>
      <c r="G133" s="524" t="s">
        <v>783</v>
      </c>
      <c r="H133" s="525"/>
      <c r="I133" s="526"/>
      <c r="J133" s="130" t="s">
        <v>108</v>
      </c>
      <c r="K133" s="130"/>
      <c r="L133" s="130" t="s">
        <v>42</v>
      </c>
      <c r="M133" s="23">
        <v>500</v>
      </c>
    </row>
    <row r="134" spans="1:13" s="152" customFormat="1" ht="23.25" thickBot="1">
      <c r="A134" s="521"/>
      <c r="B134" s="153" t="s">
        <v>29</v>
      </c>
      <c r="C134" s="153" t="s">
        <v>30</v>
      </c>
      <c r="D134" s="153" t="s">
        <v>31</v>
      </c>
      <c r="E134" s="527" t="s">
        <v>32</v>
      </c>
      <c r="F134" s="527"/>
      <c r="G134" s="529"/>
      <c r="H134" s="530"/>
      <c r="I134" s="531"/>
      <c r="J134" s="131" t="s">
        <v>773</v>
      </c>
      <c r="K134" s="132"/>
      <c r="L134" s="132" t="s">
        <v>42</v>
      </c>
      <c r="M134" s="24">
        <v>761.36</v>
      </c>
    </row>
    <row r="135" spans="1:13" s="152" customFormat="1" ht="23.25" thickBot="1">
      <c r="A135" s="522"/>
      <c r="B135" s="133" t="s">
        <v>784</v>
      </c>
      <c r="C135" s="133" t="s">
        <v>785</v>
      </c>
      <c r="D135" s="144">
        <v>43226</v>
      </c>
      <c r="E135" s="135" t="s">
        <v>36</v>
      </c>
      <c r="F135" s="25" t="s">
        <v>786</v>
      </c>
      <c r="G135" s="539"/>
      <c r="H135" s="540"/>
      <c r="I135" s="541"/>
      <c r="J135" s="131" t="s">
        <v>219</v>
      </c>
      <c r="K135" s="132"/>
      <c r="L135" s="132" t="s">
        <v>42</v>
      </c>
      <c r="M135" s="24">
        <v>100</v>
      </c>
    </row>
    <row r="136" spans="1:13" s="152" customFormat="1" ht="24" customHeight="1" thickTop="1" thickBot="1">
      <c r="A136" s="518">
        <f>A135+127</f>
        <v>127</v>
      </c>
      <c r="B136" s="150" t="s">
        <v>19</v>
      </c>
      <c r="C136" s="150" t="s">
        <v>20</v>
      </c>
      <c r="D136" s="150" t="s">
        <v>21</v>
      </c>
      <c r="E136" s="523" t="s">
        <v>22</v>
      </c>
      <c r="F136" s="523"/>
      <c r="G136" s="523" t="s">
        <v>12</v>
      </c>
      <c r="H136" s="528"/>
      <c r="I136" s="164"/>
      <c r="J136" s="126" t="s">
        <v>39</v>
      </c>
      <c r="K136" s="127"/>
      <c r="L136" s="127"/>
      <c r="M136" s="22"/>
    </row>
    <row r="137" spans="1:13" s="152" customFormat="1" ht="23.25" thickBot="1">
      <c r="A137" s="521"/>
      <c r="B137" s="128" t="s">
        <v>787</v>
      </c>
      <c r="C137" s="128" t="s">
        <v>788</v>
      </c>
      <c r="D137" s="129">
        <v>43366</v>
      </c>
      <c r="E137" s="128"/>
      <c r="F137" s="128" t="s">
        <v>789</v>
      </c>
      <c r="G137" s="524" t="s">
        <v>790</v>
      </c>
      <c r="H137" s="525"/>
      <c r="I137" s="526"/>
      <c r="J137" s="130" t="s">
        <v>772</v>
      </c>
      <c r="K137" s="130"/>
      <c r="L137" s="130" t="s">
        <v>42</v>
      </c>
      <c r="M137" s="23">
        <v>300</v>
      </c>
    </row>
    <row r="138" spans="1:13" s="152" customFormat="1" ht="23.25" thickBot="1">
      <c r="A138" s="521"/>
      <c r="B138" s="153" t="s">
        <v>29</v>
      </c>
      <c r="C138" s="153" t="s">
        <v>30</v>
      </c>
      <c r="D138" s="153" t="s">
        <v>31</v>
      </c>
      <c r="E138" s="527" t="s">
        <v>32</v>
      </c>
      <c r="F138" s="527"/>
      <c r="G138" s="529"/>
      <c r="H138" s="530"/>
      <c r="I138" s="531"/>
      <c r="J138" s="131" t="s">
        <v>38</v>
      </c>
      <c r="K138" s="132"/>
      <c r="L138" s="132" t="s">
        <v>42</v>
      </c>
      <c r="M138" s="24">
        <v>200</v>
      </c>
    </row>
    <row r="139" spans="1:13" s="152" customFormat="1" ht="23.25" thickBot="1">
      <c r="A139" s="522"/>
      <c r="B139" s="133" t="s">
        <v>791</v>
      </c>
      <c r="C139" s="133" t="s">
        <v>792</v>
      </c>
      <c r="D139" s="144">
        <v>43366</v>
      </c>
      <c r="E139" s="135" t="s">
        <v>36</v>
      </c>
      <c r="F139" s="25" t="s">
        <v>793</v>
      </c>
      <c r="G139" s="539"/>
      <c r="H139" s="540"/>
      <c r="I139" s="541"/>
      <c r="J139" s="131" t="s">
        <v>41</v>
      </c>
      <c r="K139" s="132"/>
      <c r="L139" s="132"/>
      <c r="M139" s="24"/>
    </row>
    <row r="140" spans="1:13" s="152" customFormat="1" ht="24" customHeight="1" thickTop="1" thickBot="1">
      <c r="A140" s="518">
        <f>A139+128</f>
        <v>128</v>
      </c>
      <c r="B140" s="150" t="s">
        <v>19</v>
      </c>
      <c r="C140" s="150" t="s">
        <v>20</v>
      </c>
      <c r="D140" s="150" t="s">
        <v>21</v>
      </c>
      <c r="E140" s="523" t="s">
        <v>22</v>
      </c>
      <c r="F140" s="523"/>
      <c r="G140" s="565" t="s">
        <v>12</v>
      </c>
      <c r="H140" s="566"/>
      <c r="I140" s="567"/>
      <c r="J140" s="126" t="s">
        <v>39</v>
      </c>
      <c r="K140" s="127"/>
      <c r="L140" s="99"/>
      <c r="M140" s="100"/>
    </row>
    <row r="141" spans="1:13" s="152" customFormat="1" ht="68.25" thickBot="1">
      <c r="A141" s="521"/>
      <c r="B141" s="128" t="s">
        <v>794</v>
      </c>
      <c r="C141" s="97" t="s">
        <v>795</v>
      </c>
      <c r="D141" s="129">
        <v>43366</v>
      </c>
      <c r="E141" s="128"/>
      <c r="F141" s="128" t="s">
        <v>697</v>
      </c>
      <c r="G141" s="524" t="s">
        <v>796</v>
      </c>
      <c r="H141" s="585"/>
      <c r="I141" s="586"/>
      <c r="J141" s="130" t="s">
        <v>27</v>
      </c>
      <c r="K141" s="130"/>
      <c r="L141" s="87" t="s">
        <v>28</v>
      </c>
      <c r="M141" s="298">
        <v>940</v>
      </c>
    </row>
    <row r="142" spans="1:13" s="152" customFormat="1" ht="34.5" thickBot="1">
      <c r="A142" s="521"/>
      <c r="B142" s="153" t="s">
        <v>29</v>
      </c>
      <c r="C142" s="153" t="s">
        <v>30</v>
      </c>
      <c r="D142" s="153" t="s">
        <v>31</v>
      </c>
      <c r="E142" s="580" t="s">
        <v>32</v>
      </c>
      <c r="F142" s="581"/>
      <c r="G142" s="529"/>
      <c r="H142" s="530"/>
      <c r="I142" s="531"/>
      <c r="J142" s="131" t="s">
        <v>797</v>
      </c>
      <c r="K142" s="132"/>
      <c r="L142" s="90" t="s">
        <v>28</v>
      </c>
      <c r="M142" s="299">
        <v>900</v>
      </c>
    </row>
    <row r="143" spans="1:13" s="152" customFormat="1" ht="15.75" thickBot="1">
      <c r="A143" s="521"/>
      <c r="B143" s="153"/>
      <c r="C143" s="153"/>
      <c r="D143" s="153"/>
      <c r="E143" s="172"/>
      <c r="F143" s="173"/>
      <c r="G143" s="529"/>
      <c r="H143" s="530"/>
      <c r="I143" s="531"/>
      <c r="J143" s="131" t="s">
        <v>136</v>
      </c>
      <c r="K143" s="132"/>
      <c r="L143" s="90" t="s">
        <v>28</v>
      </c>
      <c r="M143" s="299">
        <v>295</v>
      </c>
    </row>
    <row r="144" spans="1:13" s="152" customFormat="1" ht="34.5" thickBot="1">
      <c r="A144" s="522"/>
      <c r="B144" s="133" t="s">
        <v>798</v>
      </c>
      <c r="C144" s="133" t="s">
        <v>799</v>
      </c>
      <c r="D144" s="144">
        <v>43369</v>
      </c>
      <c r="E144" s="135" t="s">
        <v>36</v>
      </c>
      <c r="F144" s="136" t="s">
        <v>800</v>
      </c>
      <c r="G144" s="582"/>
      <c r="H144" s="583"/>
      <c r="I144" s="584"/>
      <c r="J144" s="131" t="s">
        <v>801</v>
      </c>
      <c r="K144" s="132"/>
      <c r="L144" s="90" t="s">
        <v>28</v>
      </c>
      <c r="M144" s="299">
        <v>200</v>
      </c>
    </row>
    <row r="145" spans="1:13" s="152" customFormat="1" ht="24" customHeight="1" thickTop="1" thickBot="1">
      <c r="A145" s="518">
        <f>A144+129</f>
        <v>129</v>
      </c>
      <c r="B145" s="150" t="s">
        <v>19</v>
      </c>
      <c r="C145" s="150" t="s">
        <v>20</v>
      </c>
      <c r="D145" s="150" t="s">
        <v>21</v>
      </c>
      <c r="E145" s="528" t="s">
        <v>22</v>
      </c>
      <c r="F145" s="579"/>
      <c r="G145" s="528" t="s">
        <v>12</v>
      </c>
      <c r="H145" s="593"/>
      <c r="I145" s="164"/>
      <c r="J145" s="126" t="s">
        <v>39</v>
      </c>
      <c r="K145" s="127"/>
      <c r="L145" s="99"/>
      <c r="M145" s="100"/>
    </row>
    <row r="146" spans="1:13" s="152" customFormat="1" ht="45.75" thickBot="1">
      <c r="A146" s="521"/>
      <c r="B146" s="128" t="s">
        <v>802</v>
      </c>
      <c r="C146" s="128" t="s">
        <v>803</v>
      </c>
      <c r="D146" s="129">
        <v>43200</v>
      </c>
      <c r="E146" s="128"/>
      <c r="F146" s="128" t="s">
        <v>170</v>
      </c>
      <c r="G146" s="524" t="s">
        <v>804</v>
      </c>
      <c r="H146" s="525"/>
      <c r="I146" s="526"/>
      <c r="J146" s="130" t="s">
        <v>33</v>
      </c>
      <c r="K146" s="87"/>
      <c r="L146" s="87" t="s">
        <v>28</v>
      </c>
      <c r="M146" s="298">
        <v>446</v>
      </c>
    </row>
    <row r="147" spans="1:13" s="152" customFormat="1" ht="23.25" thickBot="1">
      <c r="A147" s="521"/>
      <c r="B147" s="153" t="s">
        <v>29</v>
      </c>
      <c r="C147" s="153" t="s">
        <v>30</v>
      </c>
      <c r="D147" s="153" t="s">
        <v>31</v>
      </c>
      <c r="E147" s="527" t="s">
        <v>32</v>
      </c>
      <c r="F147" s="527"/>
      <c r="G147" s="529"/>
      <c r="H147" s="530"/>
      <c r="I147" s="531"/>
      <c r="J147" s="131" t="s">
        <v>27</v>
      </c>
      <c r="K147" s="90"/>
      <c r="L147" s="90" t="s">
        <v>28</v>
      </c>
      <c r="M147" s="300">
        <v>795</v>
      </c>
    </row>
    <row r="148" spans="1:13" s="152" customFormat="1" ht="23.25" thickBot="1">
      <c r="A148" s="522"/>
      <c r="B148" s="133" t="s">
        <v>798</v>
      </c>
      <c r="C148" s="133" t="s">
        <v>804</v>
      </c>
      <c r="D148" s="144">
        <v>43203</v>
      </c>
      <c r="E148" s="135" t="s">
        <v>36</v>
      </c>
      <c r="F148" s="25" t="s">
        <v>805</v>
      </c>
      <c r="G148" s="539"/>
      <c r="H148" s="540"/>
      <c r="I148" s="541"/>
      <c r="J148" s="131" t="s">
        <v>127</v>
      </c>
      <c r="K148" s="90"/>
      <c r="L148" s="90" t="s">
        <v>28</v>
      </c>
      <c r="M148" s="300">
        <v>92</v>
      </c>
    </row>
    <row r="149" spans="1:13" s="152" customFormat="1" ht="24" customHeight="1" thickTop="1" thickBot="1">
      <c r="A149" s="518">
        <f>A148+130</f>
        <v>130</v>
      </c>
      <c r="B149" s="167" t="s">
        <v>19</v>
      </c>
      <c r="C149" s="167" t="s">
        <v>20</v>
      </c>
      <c r="D149" s="167" t="s">
        <v>21</v>
      </c>
      <c r="E149" s="809" t="s">
        <v>22</v>
      </c>
      <c r="F149" s="809"/>
      <c r="G149" s="809" t="s">
        <v>12</v>
      </c>
      <c r="H149" s="810"/>
      <c r="I149" s="103"/>
      <c r="J149" s="104"/>
      <c r="K149" s="105"/>
      <c r="L149" s="106"/>
      <c r="M149" s="107"/>
    </row>
    <row r="150" spans="1:13" s="152" customFormat="1" ht="45.75" thickBot="1">
      <c r="A150" s="521"/>
      <c r="B150" s="128" t="s">
        <v>806</v>
      </c>
      <c r="C150" s="128" t="s">
        <v>807</v>
      </c>
      <c r="D150" s="129">
        <v>43359</v>
      </c>
      <c r="E150" s="128"/>
      <c r="F150" s="128" t="s">
        <v>808</v>
      </c>
      <c r="G150" s="558" t="s">
        <v>809</v>
      </c>
      <c r="H150" s="787"/>
      <c r="I150" s="788"/>
      <c r="J150" s="130" t="s">
        <v>27</v>
      </c>
      <c r="K150" s="130"/>
      <c r="L150" s="87" t="s">
        <v>28</v>
      </c>
      <c r="M150" s="98">
        <v>1235</v>
      </c>
    </row>
    <row r="151" spans="1:13" s="152" customFormat="1" ht="23.25" thickBot="1">
      <c r="A151" s="521"/>
      <c r="B151" s="153" t="s">
        <v>29</v>
      </c>
      <c r="C151" s="153" t="s">
        <v>30</v>
      </c>
      <c r="D151" s="153" t="s">
        <v>31</v>
      </c>
      <c r="E151" s="527" t="s">
        <v>32</v>
      </c>
      <c r="F151" s="527"/>
      <c r="G151" s="529"/>
      <c r="H151" s="530"/>
      <c r="I151" s="531"/>
      <c r="J151" s="131" t="s">
        <v>136</v>
      </c>
      <c r="K151" s="132"/>
      <c r="L151" s="90" t="s">
        <v>28</v>
      </c>
      <c r="M151" s="108">
        <v>780</v>
      </c>
    </row>
    <row r="152" spans="1:13" s="152" customFormat="1" ht="23.25" thickBot="1">
      <c r="A152" s="522"/>
      <c r="B152" s="133" t="s">
        <v>810</v>
      </c>
      <c r="C152" s="133" t="s">
        <v>809</v>
      </c>
      <c r="D152" s="144">
        <v>43364</v>
      </c>
      <c r="E152" s="135" t="s">
        <v>36</v>
      </c>
      <c r="F152" s="25" t="s">
        <v>811</v>
      </c>
      <c r="G152" s="539"/>
      <c r="H152" s="540"/>
      <c r="I152" s="541"/>
      <c r="J152" s="131"/>
      <c r="K152" s="132"/>
      <c r="L152" s="90"/>
      <c r="M152" s="108"/>
    </row>
    <row r="153" spans="1:13" s="152" customFormat="1" ht="24" customHeight="1" thickTop="1" thickBot="1">
      <c r="A153" s="518">
        <f>A152+131</f>
        <v>131</v>
      </c>
      <c r="B153" s="150" t="s">
        <v>19</v>
      </c>
      <c r="C153" s="150" t="s">
        <v>20</v>
      </c>
      <c r="D153" s="150" t="s">
        <v>21</v>
      </c>
      <c r="E153" s="523" t="s">
        <v>22</v>
      </c>
      <c r="F153" s="523"/>
      <c r="G153" s="523" t="s">
        <v>12</v>
      </c>
      <c r="H153" s="528"/>
      <c r="I153" s="164"/>
      <c r="J153" s="126" t="s">
        <v>39</v>
      </c>
      <c r="K153" s="127"/>
      <c r="L153" s="99"/>
      <c r="M153" s="109"/>
    </row>
    <row r="154" spans="1:13" s="152" customFormat="1" ht="23.25" thickBot="1">
      <c r="A154" s="521"/>
      <c r="B154" s="124" t="s">
        <v>812</v>
      </c>
      <c r="C154" s="128" t="s">
        <v>813</v>
      </c>
      <c r="D154" s="129">
        <v>43372</v>
      </c>
      <c r="E154" s="128"/>
      <c r="F154" s="128" t="s">
        <v>96</v>
      </c>
      <c r="G154" s="558" t="s">
        <v>814</v>
      </c>
      <c r="H154" s="787"/>
      <c r="I154" s="788"/>
      <c r="J154" s="130" t="s">
        <v>136</v>
      </c>
      <c r="K154" s="130"/>
      <c r="L154" s="87" t="s">
        <v>28</v>
      </c>
      <c r="M154" s="98">
        <v>1150</v>
      </c>
    </row>
    <row r="155" spans="1:13" s="152" customFormat="1" ht="23.25" thickBot="1">
      <c r="A155" s="521"/>
      <c r="B155" s="153" t="s">
        <v>29</v>
      </c>
      <c r="C155" s="153" t="s">
        <v>30</v>
      </c>
      <c r="D155" s="153" t="s">
        <v>31</v>
      </c>
      <c r="E155" s="527" t="s">
        <v>32</v>
      </c>
      <c r="F155" s="527"/>
      <c r="G155" s="529"/>
      <c r="H155" s="530"/>
      <c r="I155" s="531"/>
      <c r="J155" s="131"/>
      <c r="K155" s="132"/>
      <c r="L155" s="90"/>
      <c r="M155" s="108"/>
    </row>
    <row r="156" spans="1:13" s="152" customFormat="1" ht="23.25" thickBot="1">
      <c r="A156" s="522"/>
      <c r="B156" s="133" t="s">
        <v>815</v>
      </c>
      <c r="C156" s="133" t="s">
        <v>816</v>
      </c>
      <c r="D156" s="83">
        <v>43373</v>
      </c>
      <c r="E156" s="84" t="s">
        <v>36</v>
      </c>
      <c r="F156" s="85" t="s">
        <v>817</v>
      </c>
      <c r="G156" s="532"/>
      <c r="H156" s="533"/>
      <c r="I156" s="534"/>
      <c r="J156" s="131"/>
      <c r="K156" s="132"/>
      <c r="L156" s="90"/>
      <c r="M156" s="108"/>
    </row>
    <row r="157" spans="1:13" s="152" customFormat="1" ht="24" customHeight="1" thickTop="1" thickBot="1">
      <c r="A157" s="518">
        <f>A156+132</f>
        <v>132</v>
      </c>
      <c r="B157" s="150" t="s">
        <v>19</v>
      </c>
      <c r="C157" s="150" t="s">
        <v>20</v>
      </c>
      <c r="D157" s="150" t="s">
        <v>21</v>
      </c>
      <c r="E157" s="523" t="s">
        <v>22</v>
      </c>
      <c r="F157" s="523"/>
      <c r="G157" s="523" t="s">
        <v>12</v>
      </c>
      <c r="H157" s="528"/>
      <c r="I157" s="164"/>
      <c r="J157" s="126" t="s">
        <v>39</v>
      </c>
      <c r="K157" s="127"/>
      <c r="L157" s="99"/>
      <c r="M157" s="109"/>
    </row>
    <row r="158" spans="1:13" s="152" customFormat="1" ht="57" thickBot="1">
      <c r="A158" s="521"/>
      <c r="B158" s="128" t="s">
        <v>818</v>
      </c>
      <c r="C158" s="128" t="s">
        <v>819</v>
      </c>
      <c r="D158" s="129">
        <v>43349</v>
      </c>
      <c r="E158" s="128"/>
      <c r="F158" s="128" t="s">
        <v>820</v>
      </c>
      <c r="G158" s="524" t="s">
        <v>821</v>
      </c>
      <c r="H158" s="525"/>
      <c r="I158" s="526"/>
      <c r="J158" s="130" t="s">
        <v>127</v>
      </c>
      <c r="K158" s="87"/>
      <c r="L158" s="87" t="s">
        <v>28</v>
      </c>
      <c r="M158" s="298">
        <v>369</v>
      </c>
    </row>
    <row r="159" spans="1:13" s="152" customFormat="1" ht="23.25" thickBot="1">
      <c r="A159" s="521"/>
      <c r="B159" s="153" t="s">
        <v>29</v>
      </c>
      <c r="C159" s="153" t="s">
        <v>30</v>
      </c>
      <c r="D159" s="153" t="s">
        <v>31</v>
      </c>
      <c r="E159" s="527" t="s">
        <v>32</v>
      </c>
      <c r="F159" s="527"/>
      <c r="G159" s="529"/>
      <c r="H159" s="530"/>
      <c r="I159" s="531"/>
      <c r="J159" s="131" t="s">
        <v>27</v>
      </c>
      <c r="K159" s="90"/>
      <c r="L159" s="90" t="s">
        <v>28</v>
      </c>
      <c r="M159" s="300">
        <v>401</v>
      </c>
    </row>
    <row r="160" spans="1:13" s="152" customFormat="1" ht="15.75" thickBot="1">
      <c r="A160" s="522"/>
      <c r="B160" s="133" t="s">
        <v>798</v>
      </c>
      <c r="C160" s="133" t="s">
        <v>821</v>
      </c>
      <c r="D160" s="144">
        <v>43352</v>
      </c>
      <c r="E160" s="135" t="s">
        <v>36</v>
      </c>
      <c r="F160" s="25" t="s">
        <v>822</v>
      </c>
      <c r="G160" s="539"/>
      <c r="H160" s="540"/>
      <c r="I160" s="541"/>
      <c r="J160" s="131" t="s">
        <v>38</v>
      </c>
      <c r="K160" s="90"/>
      <c r="L160" s="90" t="s">
        <v>28</v>
      </c>
      <c r="M160" s="300">
        <v>265</v>
      </c>
    </row>
    <row r="161" spans="1:13" s="152" customFormat="1" ht="24" customHeight="1" thickTop="1" thickBot="1">
      <c r="A161" s="518">
        <f>A160+133</f>
        <v>133</v>
      </c>
      <c r="B161" s="150" t="s">
        <v>19</v>
      </c>
      <c r="C161" s="150" t="s">
        <v>20</v>
      </c>
      <c r="D161" s="150" t="s">
        <v>21</v>
      </c>
      <c r="E161" s="528" t="s">
        <v>22</v>
      </c>
      <c r="F161" s="579"/>
      <c r="G161" s="528" t="s">
        <v>12</v>
      </c>
      <c r="H161" s="593"/>
      <c r="I161" s="164"/>
      <c r="J161" s="126" t="s">
        <v>39</v>
      </c>
      <c r="K161" s="127"/>
      <c r="L161" s="99"/>
      <c r="M161" s="109"/>
    </row>
    <row r="162" spans="1:13" s="152" customFormat="1" ht="45.75" thickBot="1">
      <c r="A162" s="521"/>
      <c r="B162" s="128" t="s">
        <v>823</v>
      </c>
      <c r="C162" s="128" t="s">
        <v>824</v>
      </c>
      <c r="D162" s="129">
        <v>43219</v>
      </c>
      <c r="E162" s="128"/>
      <c r="F162" s="128" t="s">
        <v>177</v>
      </c>
      <c r="G162" s="524" t="s">
        <v>160</v>
      </c>
      <c r="H162" s="525"/>
      <c r="I162" s="526"/>
      <c r="J162" s="130" t="s">
        <v>33</v>
      </c>
      <c r="K162" s="87"/>
      <c r="L162" s="87" t="s">
        <v>28</v>
      </c>
      <c r="M162" s="298">
        <v>400</v>
      </c>
    </row>
    <row r="163" spans="1:13" s="152" customFormat="1" ht="23.25" thickBot="1">
      <c r="A163" s="521"/>
      <c r="B163" s="153" t="s">
        <v>29</v>
      </c>
      <c r="C163" s="153" t="s">
        <v>30</v>
      </c>
      <c r="D163" s="153" t="s">
        <v>31</v>
      </c>
      <c r="E163" s="580" t="s">
        <v>32</v>
      </c>
      <c r="F163" s="581"/>
      <c r="G163" s="529"/>
      <c r="H163" s="530"/>
      <c r="I163" s="531"/>
      <c r="J163" s="131" t="s">
        <v>27</v>
      </c>
      <c r="K163" s="132"/>
      <c r="L163" s="90" t="s">
        <v>28</v>
      </c>
      <c r="M163" s="300">
        <v>620</v>
      </c>
    </row>
    <row r="164" spans="1:13" s="152" customFormat="1" ht="15.75" thickBot="1">
      <c r="A164" s="521"/>
      <c r="B164" s="294" t="s">
        <v>825</v>
      </c>
      <c r="C164" s="133" t="s">
        <v>826</v>
      </c>
      <c r="D164" s="144">
        <v>43224</v>
      </c>
      <c r="E164" s="135" t="s">
        <v>36</v>
      </c>
      <c r="F164" s="25" t="s">
        <v>827</v>
      </c>
      <c r="G164" s="539"/>
      <c r="H164" s="540"/>
      <c r="I164" s="541"/>
      <c r="J164" s="131" t="s">
        <v>38</v>
      </c>
      <c r="K164" s="90"/>
      <c r="L164" s="90" t="s">
        <v>28</v>
      </c>
      <c r="M164" s="300">
        <v>384</v>
      </c>
    </row>
    <row r="165" spans="1:13" s="152" customFormat="1" ht="24" thickTop="1" thickBot="1">
      <c r="A165" s="522"/>
      <c r="B165" s="134"/>
      <c r="C165" s="134"/>
      <c r="D165" s="144"/>
      <c r="E165" s="134"/>
      <c r="F165" s="134"/>
      <c r="G165" s="157"/>
      <c r="H165" s="158"/>
      <c r="I165" s="158"/>
      <c r="J165" s="142" t="s">
        <v>127</v>
      </c>
      <c r="K165" s="142"/>
      <c r="L165" s="110" t="s">
        <v>28</v>
      </c>
      <c r="M165" s="301">
        <v>150</v>
      </c>
    </row>
    <row r="166" spans="1:13" s="152" customFormat="1" ht="24" customHeight="1" thickTop="1" thickBot="1">
      <c r="A166" s="518">
        <f>A165+134</f>
        <v>134</v>
      </c>
      <c r="B166" s="150" t="s">
        <v>19</v>
      </c>
      <c r="C166" s="150" t="s">
        <v>20</v>
      </c>
      <c r="D166" s="150" t="s">
        <v>21</v>
      </c>
      <c r="E166" s="523" t="s">
        <v>22</v>
      </c>
      <c r="F166" s="523"/>
      <c r="G166" s="523" t="s">
        <v>12</v>
      </c>
      <c r="H166" s="528"/>
      <c r="I166" s="164"/>
      <c r="J166" s="126" t="s">
        <v>39</v>
      </c>
      <c r="K166" s="127"/>
      <c r="L166" s="99"/>
      <c r="M166" s="109"/>
    </row>
    <row r="167" spans="1:13" s="152" customFormat="1" ht="45.75" thickBot="1">
      <c r="A167" s="521"/>
      <c r="B167" s="128" t="s">
        <v>159</v>
      </c>
      <c r="C167" s="128" t="s">
        <v>828</v>
      </c>
      <c r="D167" s="129">
        <v>43223</v>
      </c>
      <c r="E167" s="128"/>
      <c r="F167" s="128" t="s">
        <v>165</v>
      </c>
      <c r="G167" s="524" t="s">
        <v>153</v>
      </c>
      <c r="H167" s="525"/>
      <c r="I167" s="526"/>
      <c r="J167" s="130" t="s">
        <v>33</v>
      </c>
      <c r="K167" s="87"/>
      <c r="L167" s="87" t="s">
        <v>28</v>
      </c>
      <c r="M167" s="298">
        <v>330</v>
      </c>
    </row>
    <row r="168" spans="1:13" s="152" customFormat="1" ht="23.25" thickBot="1">
      <c r="A168" s="521"/>
      <c r="B168" s="153" t="s">
        <v>29</v>
      </c>
      <c r="C168" s="153" t="s">
        <v>30</v>
      </c>
      <c r="D168" s="153" t="s">
        <v>31</v>
      </c>
      <c r="E168" s="527" t="s">
        <v>32</v>
      </c>
      <c r="F168" s="527"/>
      <c r="G168" s="529"/>
      <c r="H168" s="530"/>
      <c r="I168" s="531"/>
      <c r="J168" s="131" t="s">
        <v>27</v>
      </c>
      <c r="K168" s="132"/>
      <c r="L168" s="90" t="s">
        <v>28</v>
      </c>
      <c r="M168" s="108">
        <v>1151</v>
      </c>
    </row>
    <row r="169" spans="1:13" s="152" customFormat="1" ht="15.75" thickBot="1">
      <c r="A169" s="521"/>
      <c r="B169" s="133" t="s">
        <v>798</v>
      </c>
      <c r="C169" s="133" t="s">
        <v>829</v>
      </c>
      <c r="D169" s="144">
        <v>43226</v>
      </c>
      <c r="E169" s="135" t="s">
        <v>36</v>
      </c>
      <c r="F169" s="25" t="s">
        <v>830</v>
      </c>
      <c r="G169" s="539"/>
      <c r="H169" s="540"/>
      <c r="I169" s="541"/>
      <c r="J169" s="131" t="s">
        <v>136</v>
      </c>
      <c r="K169" s="90"/>
      <c r="L169" s="90" t="s">
        <v>28</v>
      </c>
      <c r="M169" s="300">
        <v>500</v>
      </c>
    </row>
    <row r="170" spans="1:13" s="152" customFormat="1" ht="16.5" thickTop="1" thickBot="1">
      <c r="A170" s="522"/>
      <c r="B170" s="134"/>
      <c r="C170" s="134"/>
      <c r="D170" s="144"/>
      <c r="E170" s="134"/>
      <c r="F170" s="134"/>
      <c r="G170" s="157"/>
      <c r="H170" s="158"/>
      <c r="I170" s="159"/>
      <c r="J170" s="142" t="s">
        <v>38</v>
      </c>
      <c r="K170" s="142"/>
      <c r="L170" s="110" t="s">
        <v>28</v>
      </c>
      <c r="M170" s="301">
        <v>333</v>
      </c>
    </row>
    <row r="171" spans="1:13" s="152" customFormat="1" ht="24" customHeight="1" thickTop="1" thickBot="1">
      <c r="A171" s="518">
        <f>A170+135</f>
        <v>135</v>
      </c>
      <c r="B171" s="150" t="s">
        <v>19</v>
      </c>
      <c r="C171" s="150" t="s">
        <v>20</v>
      </c>
      <c r="D171" s="150" t="s">
        <v>21</v>
      </c>
      <c r="E171" s="523" t="s">
        <v>22</v>
      </c>
      <c r="F171" s="523"/>
      <c r="G171" s="523" t="s">
        <v>12</v>
      </c>
      <c r="H171" s="528"/>
      <c r="I171" s="164"/>
      <c r="J171" s="126" t="s">
        <v>39</v>
      </c>
      <c r="K171" s="127"/>
      <c r="L171" s="99"/>
      <c r="M171" s="109"/>
    </row>
    <row r="172" spans="1:13" s="152" customFormat="1" ht="57" thickBot="1">
      <c r="A172" s="521"/>
      <c r="B172" s="128" t="s">
        <v>159</v>
      </c>
      <c r="C172" s="128" t="s">
        <v>831</v>
      </c>
      <c r="D172" s="129">
        <v>43203</v>
      </c>
      <c r="E172" s="128"/>
      <c r="F172" s="128" t="s">
        <v>144</v>
      </c>
      <c r="G172" s="524" t="s">
        <v>153</v>
      </c>
      <c r="H172" s="525"/>
      <c r="I172" s="526"/>
      <c r="J172" s="130" t="s">
        <v>832</v>
      </c>
      <c r="K172" s="130"/>
      <c r="L172" s="87" t="s">
        <v>28</v>
      </c>
      <c r="M172" s="298">
        <v>283</v>
      </c>
    </row>
    <row r="173" spans="1:13" s="152" customFormat="1" ht="23.25" thickBot="1">
      <c r="A173" s="521"/>
      <c r="B173" s="153" t="s">
        <v>29</v>
      </c>
      <c r="C173" s="153" t="s">
        <v>30</v>
      </c>
      <c r="D173" s="153" t="s">
        <v>31</v>
      </c>
      <c r="E173" s="527" t="s">
        <v>32</v>
      </c>
      <c r="F173" s="527"/>
      <c r="G173" s="529"/>
      <c r="H173" s="530"/>
      <c r="I173" s="531"/>
      <c r="J173" s="131" t="s">
        <v>833</v>
      </c>
      <c r="K173" s="132"/>
      <c r="L173" s="90" t="s">
        <v>28</v>
      </c>
      <c r="M173" s="300">
        <v>490.73</v>
      </c>
    </row>
    <row r="174" spans="1:13" s="152" customFormat="1" ht="15.75" thickBot="1">
      <c r="A174" s="521"/>
      <c r="B174" s="153"/>
      <c r="C174" s="153"/>
      <c r="D174" s="153"/>
      <c r="E174" s="153"/>
      <c r="F174" s="153"/>
      <c r="G174" s="154"/>
      <c r="H174" s="155"/>
      <c r="I174" s="156"/>
      <c r="J174" s="131" t="s">
        <v>38</v>
      </c>
      <c r="K174" s="132"/>
      <c r="L174" s="90" t="s">
        <v>28</v>
      </c>
      <c r="M174" s="300">
        <v>185</v>
      </c>
    </row>
    <row r="175" spans="1:13" s="152" customFormat="1" ht="23.25" thickBot="1">
      <c r="A175" s="522"/>
      <c r="B175" s="133" t="s">
        <v>798</v>
      </c>
      <c r="C175" s="133" t="s">
        <v>834</v>
      </c>
      <c r="D175" s="144">
        <v>43205</v>
      </c>
      <c r="E175" s="135" t="s">
        <v>36</v>
      </c>
      <c r="F175" s="25" t="s">
        <v>835</v>
      </c>
      <c r="G175" s="539"/>
      <c r="H175" s="540"/>
      <c r="I175" s="541"/>
      <c r="J175" s="131" t="s">
        <v>836</v>
      </c>
      <c r="K175" s="132"/>
      <c r="L175" s="90" t="s">
        <v>28</v>
      </c>
      <c r="M175" s="300">
        <v>310</v>
      </c>
    </row>
    <row r="176" spans="1:13" s="152" customFormat="1" ht="24" customHeight="1" thickTop="1" thickBot="1">
      <c r="A176" s="518">
        <f>A175+136</f>
        <v>136</v>
      </c>
      <c r="B176" s="150" t="s">
        <v>19</v>
      </c>
      <c r="C176" s="150" t="s">
        <v>20</v>
      </c>
      <c r="D176" s="150" t="s">
        <v>21</v>
      </c>
      <c r="E176" s="523" t="s">
        <v>22</v>
      </c>
      <c r="F176" s="523"/>
      <c r="G176" s="523" t="s">
        <v>12</v>
      </c>
      <c r="H176" s="528"/>
      <c r="I176" s="164"/>
      <c r="J176" s="126" t="s">
        <v>39</v>
      </c>
      <c r="K176" s="127"/>
      <c r="L176" s="99"/>
      <c r="M176" s="109"/>
    </row>
    <row r="177" spans="1:13" s="152" customFormat="1" ht="23.25" thickBot="1">
      <c r="A177" s="521"/>
      <c r="B177" s="128" t="s">
        <v>837</v>
      </c>
      <c r="C177" s="128" t="s">
        <v>838</v>
      </c>
      <c r="D177" s="129">
        <v>43360</v>
      </c>
      <c r="E177" s="128"/>
      <c r="F177" s="128" t="s">
        <v>839</v>
      </c>
      <c r="G177" s="524" t="s">
        <v>840</v>
      </c>
      <c r="H177" s="525"/>
      <c r="I177" s="526"/>
      <c r="J177" s="130" t="s">
        <v>33</v>
      </c>
      <c r="K177" s="87"/>
      <c r="L177" s="87" t="s">
        <v>28</v>
      </c>
      <c r="M177" s="298">
        <v>1800</v>
      </c>
    </row>
    <row r="178" spans="1:13" s="152" customFormat="1" ht="23.25" thickBot="1">
      <c r="A178" s="521"/>
      <c r="B178" s="153" t="s">
        <v>29</v>
      </c>
      <c r="C178" s="153" t="s">
        <v>30</v>
      </c>
      <c r="D178" s="153" t="s">
        <v>31</v>
      </c>
      <c r="E178" s="527" t="s">
        <v>32</v>
      </c>
      <c r="F178" s="527"/>
      <c r="G178" s="529"/>
      <c r="H178" s="530"/>
      <c r="I178" s="531"/>
      <c r="J178" s="131" t="s">
        <v>27</v>
      </c>
      <c r="K178" s="132"/>
      <c r="L178" s="90" t="s">
        <v>28</v>
      </c>
      <c r="M178" s="300">
        <v>750</v>
      </c>
    </row>
    <row r="179" spans="1:13" s="152" customFormat="1" ht="23.25" thickBot="1">
      <c r="A179" s="521"/>
      <c r="B179" s="153"/>
      <c r="C179" s="153"/>
      <c r="D179" s="153"/>
      <c r="E179" s="153"/>
      <c r="F179" s="153"/>
      <c r="G179" s="154"/>
      <c r="H179" s="155"/>
      <c r="I179" s="156"/>
      <c r="J179" s="131" t="s">
        <v>127</v>
      </c>
      <c r="K179" s="132"/>
      <c r="L179" s="90" t="s">
        <v>28</v>
      </c>
      <c r="M179" s="300">
        <v>100</v>
      </c>
    </row>
    <row r="180" spans="1:13" s="152" customFormat="1" ht="23.25" thickBot="1">
      <c r="A180" s="522"/>
      <c r="B180" s="133" t="s">
        <v>841</v>
      </c>
      <c r="C180" s="133" t="s">
        <v>838</v>
      </c>
      <c r="D180" s="144">
        <v>43364</v>
      </c>
      <c r="E180" s="135" t="s">
        <v>36</v>
      </c>
      <c r="F180" s="25" t="s">
        <v>842</v>
      </c>
      <c r="G180" s="539"/>
      <c r="H180" s="540"/>
      <c r="I180" s="541"/>
      <c r="J180" s="131" t="s">
        <v>38</v>
      </c>
      <c r="K180" s="90"/>
      <c r="L180" s="90" t="s">
        <v>28</v>
      </c>
      <c r="M180" s="300">
        <v>630</v>
      </c>
    </row>
    <row r="181" spans="1:13" s="152" customFormat="1" ht="24" customHeight="1" thickTop="1" thickBot="1">
      <c r="A181" s="518">
        <f>A180+137</f>
        <v>137</v>
      </c>
      <c r="B181" s="150" t="s">
        <v>19</v>
      </c>
      <c r="C181" s="150" t="s">
        <v>20</v>
      </c>
      <c r="D181" s="150" t="s">
        <v>21</v>
      </c>
      <c r="E181" s="523" t="s">
        <v>22</v>
      </c>
      <c r="F181" s="523"/>
      <c r="G181" s="523" t="s">
        <v>12</v>
      </c>
      <c r="H181" s="528"/>
      <c r="I181" s="164"/>
      <c r="J181" s="126" t="s">
        <v>39</v>
      </c>
      <c r="K181" s="127"/>
      <c r="L181" s="99"/>
      <c r="M181" s="109"/>
    </row>
    <row r="182" spans="1:13" s="152" customFormat="1" ht="45.75" thickBot="1">
      <c r="A182" s="521"/>
      <c r="B182" s="128" t="s">
        <v>843</v>
      </c>
      <c r="C182" s="128" t="s">
        <v>844</v>
      </c>
      <c r="D182" s="129">
        <v>43311</v>
      </c>
      <c r="E182" s="128"/>
      <c r="F182" s="128" t="s">
        <v>144</v>
      </c>
      <c r="G182" s="524" t="s">
        <v>840</v>
      </c>
      <c r="H182" s="585"/>
      <c r="I182" s="586"/>
      <c r="J182" s="130" t="s">
        <v>33</v>
      </c>
      <c r="K182" s="87"/>
      <c r="L182" s="87" t="s">
        <v>28</v>
      </c>
      <c r="M182" s="298">
        <v>480</v>
      </c>
    </row>
    <row r="183" spans="1:13" s="152" customFormat="1" ht="23.25" thickBot="1">
      <c r="A183" s="521"/>
      <c r="B183" s="153" t="s">
        <v>29</v>
      </c>
      <c r="C183" s="153" t="s">
        <v>30</v>
      </c>
      <c r="D183" s="153" t="s">
        <v>31</v>
      </c>
      <c r="E183" s="527" t="s">
        <v>32</v>
      </c>
      <c r="F183" s="527"/>
      <c r="G183" s="529"/>
      <c r="H183" s="530"/>
      <c r="I183" s="531"/>
      <c r="J183" s="131" t="s">
        <v>27</v>
      </c>
      <c r="K183" s="132"/>
      <c r="L183" s="90" t="s">
        <v>28</v>
      </c>
      <c r="M183" s="300">
        <v>836</v>
      </c>
    </row>
    <row r="184" spans="1:13" s="152" customFormat="1" ht="15.75" thickBot="1">
      <c r="A184" s="521"/>
      <c r="B184" s="153"/>
      <c r="C184" s="153"/>
      <c r="D184" s="153"/>
      <c r="E184" s="153"/>
      <c r="F184" s="153"/>
      <c r="G184" s="154"/>
      <c r="H184" s="155"/>
      <c r="I184" s="156"/>
      <c r="J184" s="131" t="s">
        <v>38</v>
      </c>
      <c r="K184" s="132"/>
      <c r="L184" s="90" t="s">
        <v>28</v>
      </c>
      <c r="M184" s="300">
        <v>276</v>
      </c>
    </row>
    <row r="185" spans="1:13" s="152" customFormat="1" ht="23.25" thickBot="1">
      <c r="A185" s="522"/>
      <c r="B185" s="133" t="s">
        <v>845</v>
      </c>
      <c r="C185" s="133" t="s">
        <v>846</v>
      </c>
      <c r="D185" s="144">
        <v>43314</v>
      </c>
      <c r="E185" s="135" t="s">
        <v>36</v>
      </c>
      <c r="F185" s="25" t="s">
        <v>847</v>
      </c>
      <c r="G185" s="539"/>
      <c r="H185" s="540"/>
      <c r="I185" s="541"/>
      <c r="J185" s="131" t="s">
        <v>127</v>
      </c>
      <c r="K185" s="132"/>
      <c r="L185" s="90" t="s">
        <v>28</v>
      </c>
      <c r="M185" s="300">
        <v>75</v>
      </c>
    </row>
    <row r="186" spans="1:13" s="152" customFormat="1" ht="24" customHeight="1" thickTop="1" thickBot="1">
      <c r="A186" s="518">
        <f>A185+138</f>
        <v>138</v>
      </c>
      <c r="B186" s="150" t="s">
        <v>19</v>
      </c>
      <c r="C186" s="150" t="s">
        <v>20</v>
      </c>
      <c r="D186" s="150" t="s">
        <v>21</v>
      </c>
      <c r="E186" s="523" t="s">
        <v>22</v>
      </c>
      <c r="F186" s="523"/>
      <c r="G186" s="523" t="s">
        <v>12</v>
      </c>
      <c r="H186" s="528"/>
      <c r="I186" s="164"/>
      <c r="J186" s="126" t="s">
        <v>39</v>
      </c>
      <c r="K186" s="127"/>
      <c r="L186" s="99"/>
      <c r="M186" s="109"/>
    </row>
    <row r="187" spans="1:13" s="152" customFormat="1" ht="15.75" thickBot="1">
      <c r="A187" s="521"/>
      <c r="B187" s="128" t="s">
        <v>158</v>
      </c>
      <c r="C187" s="128" t="s">
        <v>848</v>
      </c>
      <c r="D187" s="129">
        <v>43219</v>
      </c>
      <c r="E187" s="128"/>
      <c r="F187" s="128" t="s">
        <v>155</v>
      </c>
      <c r="G187" s="524" t="s">
        <v>160</v>
      </c>
      <c r="H187" s="585"/>
      <c r="I187" s="586"/>
      <c r="J187" s="130" t="s">
        <v>27</v>
      </c>
      <c r="K187" s="87"/>
      <c r="L187" s="87" t="s">
        <v>28</v>
      </c>
      <c r="M187" s="298">
        <v>800</v>
      </c>
    </row>
    <row r="188" spans="1:13" s="152" customFormat="1" ht="23.25" thickBot="1">
      <c r="A188" s="521"/>
      <c r="B188" s="153" t="s">
        <v>29</v>
      </c>
      <c r="C188" s="153" t="s">
        <v>30</v>
      </c>
      <c r="D188" s="153" t="s">
        <v>31</v>
      </c>
      <c r="E188" s="580" t="s">
        <v>32</v>
      </c>
      <c r="F188" s="581"/>
      <c r="G188" s="529"/>
      <c r="H188" s="530"/>
      <c r="I188" s="531"/>
      <c r="J188" s="131" t="s">
        <v>33</v>
      </c>
      <c r="K188" s="90"/>
      <c r="L188" s="90" t="s">
        <v>28</v>
      </c>
      <c r="M188" s="299">
        <v>600</v>
      </c>
    </row>
    <row r="189" spans="1:13" s="152" customFormat="1" ht="45.75" thickBot="1">
      <c r="A189" s="521"/>
      <c r="B189" s="133" t="s">
        <v>798</v>
      </c>
      <c r="C189" s="133" t="s">
        <v>849</v>
      </c>
      <c r="D189" s="144">
        <v>43222</v>
      </c>
      <c r="E189" s="135" t="s">
        <v>36</v>
      </c>
      <c r="F189" s="136" t="s">
        <v>850</v>
      </c>
      <c r="G189" s="582"/>
      <c r="H189" s="583"/>
      <c r="I189" s="584"/>
      <c r="J189" s="131" t="s">
        <v>38</v>
      </c>
      <c r="K189" s="90"/>
      <c r="L189" s="90" t="s">
        <v>28</v>
      </c>
      <c r="M189" s="299">
        <v>240</v>
      </c>
    </row>
    <row r="190" spans="1:13" s="152" customFormat="1" ht="24" thickTop="1" thickBot="1">
      <c r="A190" s="522"/>
      <c r="B190" s="150" t="s">
        <v>19</v>
      </c>
      <c r="C190" s="150" t="s">
        <v>20</v>
      </c>
      <c r="D190" s="150" t="s">
        <v>21</v>
      </c>
      <c r="E190" s="523" t="s">
        <v>22</v>
      </c>
      <c r="F190" s="523"/>
      <c r="G190" s="523" t="s">
        <v>12</v>
      </c>
      <c r="H190" s="528"/>
      <c r="I190" s="164"/>
      <c r="J190" s="126" t="s">
        <v>39</v>
      </c>
      <c r="K190" s="127"/>
      <c r="L190" s="99"/>
      <c r="M190" s="109"/>
    </row>
    <row r="191" spans="1:13" s="152" customFormat="1" ht="24" customHeight="1" thickTop="1" thickBot="1">
      <c r="A191" s="518">
        <f>A190+139</f>
        <v>139</v>
      </c>
      <c r="B191" s="128" t="s">
        <v>851</v>
      </c>
      <c r="C191" s="128" t="s">
        <v>852</v>
      </c>
      <c r="D191" s="129">
        <v>43324</v>
      </c>
      <c r="E191" s="128"/>
      <c r="F191" s="128" t="s">
        <v>155</v>
      </c>
      <c r="G191" s="524" t="s">
        <v>160</v>
      </c>
      <c r="H191" s="525"/>
      <c r="I191" s="526"/>
      <c r="J191" s="130" t="s">
        <v>33</v>
      </c>
      <c r="K191" s="87"/>
      <c r="L191" s="87" t="s">
        <v>28</v>
      </c>
      <c r="M191" s="298">
        <v>480</v>
      </c>
    </row>
    <row r="192" spans="1:13" s="152" customFormat="1" ht="23.25" thickBot="1">
      <c r="A192" s="521"/>
      <c r="B192" s="153" t="s">
        <v>29</v>
      </c>
      <c r="C192" s="153" t="s">
        <v>30</v>
      </c>
      <c r="D192" s="153" t="s">
        <v>31</v>
      </c>
      <c r="E192" s="527" t="s">
        <v>32</v>
      </c>
      <c r="F192" s="527"/>
      <c r="G192" s="529"/>
      <c r="H192" s="530"/>
      <c r="I192" s="531"/>
      <c r="J192" s="131" t="s">
        <v>27</v>
      </c>
      <c r="K192" s="132"/>
      <c r="L192" s="90" t="s">
        <v>28</v>
      </c>
      <c r="M192" s="300">
        <v>160</v>
      </c>
    </row>
    <row r="193" spans="1:13" s="152" customFormat="1" ht="15.75" thickBot="1">
      <c r="A193" s="521"/>
      <c r="B193" s="133" t="s">
        <v>798</v>
      </c>
      <c r="C193" s="133" t="s">
        <v>853</v>
      </c>
      <c r="D193" s="144">
        <v>43326</v>
      </c>
      <c r="E193" s="135" t="s">
        <v>36</v>
      </c>
      <c r="F193" s="25" t="s">
        <v>854</v>
      </c>
      <c r="G193" s="539"/>
      <c r="H193" s="540"/>
      <c r="I193" s="541"/>
      <c r="J193" s="131" t="s">
        <v>162</v>
      </c>
      <c r="K193" s="90"/>
      <c r="L193" s="90" t="s">
        <v>28</v>
      </c>
      <c r="M193" s="300">
        <v>140</v>
      </c>
    </row>
    <row r="194" spans="1:13" s="152" customFormat="1" ht="24" thickTop="1" thickBot="1">
      <c r="A194" s="522"/>
      <c r="B194" s="150" t="s">
        <v>19</v>
      </c>
      <c r="C194" s="150" t="s">
        <v>20</v>
      </c>
      <c r="D194" s="150" t="s">
        <v>21</v>
      </c>
      <c r="E194" s="523" t="s">
        <v>22</v>
      </c>
      <c r="F194" s="523"/>
      <c r="G194" s="523" t="s">
        <v>12</v>
      </c>
      <c r="H194" s="528"/>
      <c r="I194" s="164"/>
      <c r="J194" s="126" t="s">
        <v>39</v>
      </c>
      <c r="K194" s="127"/>
      <c r="L194" s="99"/>
      <c r="M194" s="109"/>
    </row>
    <row r="195" spans="1:13" s="152" customFormat="1" ht="24" customHeight="1" thickTop="1" thickBot="1">
      <c r="A195" s="518">
        <f>A194+140</f>
        <v>140</v>
      </c>
      <c r="B195" s="128" t="s">
        <v>855</v>
      </c>
      <c r="C195" s="128" t="s">
        <v>856</v>
      </c>
      <c r="D195" s="129">
        <v>43366</v>
      </c>
      <c r="E195" s="128"/>
      <c r="F195" s="128" t="s">
        <v>697</v>
      </c>
      <c r="G195" s="524" t="s">
        <v>796</v>
      </c>
      <c r="H195" s="525"/>
      <c r="I195" s="526"/>
      <c r="J195" s="130" t="s">
        <v>27</v>
      </c>
      <c r="K195" s="87"/>
      <c r="L195" s="87" t="s">
        <v>28</v>
      </c>
      <c r="M195" s="298">
        <v>820</v>
      </c>
    </row>
    <row r="196" spans="1:13" s="152" customFormat="1" ht="34.5" thickBot="1">
      <c r="A196" s="521"/>
      <c r="B196" s="153" t="s">
        <v>29</v>
      </c>
      <c r="C196" s="153" t="s">
        <v>30</v>
      </c>
      <c r="D196" s="153" t="s">
        <v>31</v>
      </c>
      <c r="E196" s="527" t="s">
        <v>32</v>
      </c>
      <c r="F196" s="527"/>
      <c r="G196" s="529"/>
      <c r="H196" s="530"/>
      <c r="I196" s="531"/>
      <c r="J196" s="131" t="s">
        <v>797</v>
      </c>
      <c r="K196" s="132"/>
      <c r="L196" s="90" t="s">
        <v>28</v>
      </c>
      <c r="M196" s="300">
        <v>900</v>
      </c>
    </row>
    <row r="197" spans="1:13" s="152" customFormat="1" ht="15.75" thickBot="1">
      <c r="A197" s="521"/>
      <c r="B197" s="134" t="s">
        <v>798</v>
      </c>
      <c r="C197" s="134" t="s">
        <v>796</v>
      </c>
      <c r="D197" s="144">
        <v>43369</v>
      </c>
      <c r="E197" s="135" t="s">
        <v>36</v>
      </c>
      <c r="F197" s="140" t="s">
        <v>857</v>
      </c>
      <c r="G197" s="539"/>
      <c r="H197" s="540"/>
      <c r="I197" s="541"/>
      <c r="J197" s="141" t="s">
        <v>136</v>
      </c>
      <c r="K197" s="110"/>
      <c r="L197" s="110" t="s">
        <v>28</v>
      </c>
      <c r="M197" s="302">
        <v>415</v>
      </c>
    </row>
    <row r="198" spans="1:13" s="152" customFormat="1" ht="24" thickTop="1" thickBot="1">
      <c r="A198" s="522"/>
      <c r="B198" s="150" t="s">
        <v>19</v>
      </c>
      <c r="C198" s="150" t="s">
        <v>20</v>
      </c>
      <c r="D198" s="150" t="s">
        <v>21</v>
      </c>
      <c r="E198" s="523" t="s">
        <v>22</v>
      </c>
      <c r="F198" s="523"/>
      <c r="G198" s="523" t="s">
        <v>12</v>
      </c>
      <c r="H198" s="528"/>
      <c r="I198" s="164"/>
      <c r="J198" s="126" t="s">
        <v>39</v>
      </c>
      <c r="K198" s="127"/>
      <c r="L198" s="99"/>
      <c r="M198" s="109"/>
    </row>
    <row r="199" spans="1:13" s="152" customFormat="1" ht="24" customHeight="1" thickTop="1" thickBot="1">
      <c r="A199" s="518">
        <f>A198+141</f>
        <v>141</v>
      </c>
      <c r="B199" s="128" t="s">
        <v>855</v>
      </c>
      <c r="C199" s="128" t="s">
        <v>858</v>
      </c>
      <c r="D199" s="129">
        <v>43217</v>
      </c>
      <c r="E199" s="128"/>
      <c r="F199" s="128" t="s">
        <v>619</v>
      </c>
      <c r="G199" s="524" t="s">
        <v>796</v>
      </c>
      <c r="H199" s="525"/>
      <c r="I199" s="526"/>
      <c r="J199" s="130" t="s">
        <v>33</v>
      </c>
      <c r="K199" s="87"/>
      <c r="L199" s="87" t="s">
        <v>28</v>
      </c>
      <c r="M199" s="298">
        <v>402.1</v>
      </c>
    </row>
    <row r="200" spans="1:13" s="152" customFormat="1" ht="23.25" thickBot="1">
      <c r="A200" s="521"/>
      <c r="B200" s="153" t="s">
        <v>29</v>
      </c>
      <c r="C200" s="153" t="s">
        <v>30</v>
      </c>
      <c r="D200" s="153" t="s">
        <v>31</v>
      </c>
      <c r="E200" s="527" t="s">
        <v>32</v>
      </c>
      <c r="F200" s="527"/>
      <c r="G200" s="529"/>
      <c r="H200" s="530"/>
      <c r="I200" s="531"/>
      <c r="J200" s="131" t="s">
        <v>833</v>
      </c>
      <c r="K200" s="132"/>
      <c r="L200" s="90" t="s">
        <v>28</v>
      </c>
      <c r="M200" s="300">
        <v>2124</v>
      </c>
    </row>
    <row r="201" spans="1:13" s="152" customFormat="1" ht="45.75" thickBot="1">
      <c r="A201" s="521"/>
      <c r="B201" s="133" t="s">
        <v>798</v>
      </c>
      <c r="C201" s="133" t="s">
        <v>859</v>
      </c>
      <c r="D201" s="144">
        <v>43220</v>
      </c>
      <c r="E201" s="135" t="s">
        <v>36</v>
      </c>
      <c r="F201" s="25" t="s">
        <v>860</v>
      </c>
      <c r="G201" s="539"/>
      <c r="H201" s="540"/>
      <c r="I201" s="541"/>
      <c r="J201" s="131" t="s">
        <v>136</v>
      </c>
      <c r="K201" s="90"/>
      <c r="L201" s="90" t="s">
        <v>28</v>
      </c>
      <c r="M201" s="300">
        <v>390</v>
      </c>
    </row>
    <row r="202" spans="1:13" s="152" customFormat="1" ht="24" thickTop="1" thickBot="1">
      <c r="A202" s="522"/>
      <c r="B202" s="150" t="s">
        <v>19</v>
      </c>
      <c r="C202" s="150" t="s">
        <v>20</v>
      </c>
      <c r="D202" s="150" t="s">
        <v>21</v>
      </c>
      <c r="E202" s="523" t="s">
        <v>22</v>
      </c>
      <c r="F202" s="523"/>
      <c r="G202" s="523" t="s">
        <v>12</v>
      </c>
      <c r="H202" s="528"/>
      <c r="I202" s="164"/>
      <c r="J202" s="126" t="s">
        <v>39</v>
      </c>
      <c r="K202" s="127"/>
      <c r="L202" s="99"/>
      <c r="M202" s="109"/>
    </row>
    <row r="203" spans="1:13" s="152" customFormat="1" ht="24" customHeight="1" thickTop="1" thickBot="1">
      <c r="A203" s="518">
        <f>A202+142</f>
        <v>142</v>
      </c>
      <c r="B203" s="128" t="s">
        <v>861</v>
      </c>
      <c r="C203" s="128" t="s">
        <v>862</v>
      </c>
      <c r="D203" s="129">
        <v>43229</v>
      </c>
      <c r="E203" s="128"/>
      <c r="F203" s="128" t="s">
        <v>863</v>
      </c>
      <c r="G203" s="524" t="s">
        <v>804</v>
      </c>
      <c r="H203" s="585"/>
      <c r="I203" s="586"/>
      <c r="J203" s="130" t="s">
        <v>33</v>
      </c>
      <c r="K203" s="87"/>
      <c r="L203" s="87" t="s">
        <v>28</v>
      </c>
      <c r="M203" s="303">
        <v>250</v>
      </c>
    </row>
    <row r="204" spans="1:13" s="152" customFormat="1" ht="23.25" thickBot="1">
      <c r="A204" s="521"/>
      <c r="B204" s="153" t="s">
        <v>29</v>
      </c>
      <c r="C204" s="153" t="s">
        <v>30</v>
      </c>
      <c r="D204" s="153" t="s">
        <v>31</v>
      </c>
      <c r="E204" s="527" t="s">
        <v>32</v>
      </c>
      <c r="F204" s="527"/>
      <c r="G204" s="529"/>
      <c r="H204" s="530"/>
      <c r="I204" s="531"/>
      <c r="J204" s="131" t="s">
        <v>833</v>
      </c>
      <c r="K204" s="132"/>
      <c r="L204" s="90" t="s">
        <v>28</v>
      </c>
      <c r="M204" s="300">
        <v>120</v>
      </c>
    </row>
    <row r="205" spans="1:13" s="152" customFormat="1" ht="23.25" thickBot="1">
      <c r="A205" s="521"/>
      <c r="B205" s="134" t="s">
        <v>798</v>
      </c>
      <c r="C205" s="134" t="s">
        <v>804</v>
      </c>
      <c r="D205" s="144">
        <v>43229</v>
      </c>
      <c r="E205" s="135" t="s">
        <v>36</v>
      </c>
      <c r="F205" s="140" t="s">
        <v>864</v>
      </c>
      <c r="G205" s="539"/>
      <c r="H205" s="540"/>
      <c r="I205" s="541"/>
      <c r="J205" s="141" t="s">
        <v>127</v>
      </c>
      <c r="K205" s="110"/>
      <c r="L205" s="110" t="s">
        <v>28</v>
      </c>
      <c r="M205" s="304">
        <v>50</v>
      </c>
    </row>
    <row r="206" spans="1:13" s="152" customFormat="1" ht="24" thickTop="1" thickBot="1">
      <c r="A206" s="522"/>
      <c r="B206" s="150" t="s">
        <v>19</v>
      </c>
      <c r="C206" s="150" t="s">
        <v>20</v>
      </c>
      <c r="D206" s="150" t="s">
        <v>21</v>
      </c>
      <c r="E206" s="523" t="s">
        <v>22</v>
      </c>
      <c r="F206" s="523"/>
      <c r="G206" s="523" t="s">
        <v>12</v>
      </c>
      <c r="H206" s="528"/>
      <c r="I206" s="164"/>
      <c r="J206" s="126" t="s">
        <v>39</v>
      </c>
      <c r="K206" s="127"/>
      <c r="L206" s="99"/>
      <c r="M206" s="109"/>
    </row>
    <row r="207" spans="1:13" s="152" customFormat="1" ht="24" customHeight="1" thickTop="1" thickBot="1">
      <c r="A207" s="518">
        <f>A206+143</f>
        <v>143</v>
      </c>
      <c r="B207" s="128" t="s">
        <v>865</v>
      </c>
      <c r="C207" s="128" t="s">
        <v>866</v>
      </c>
      <c r="D207" s="129">
        <v>43236</v>
      </c>
      <c r="E207" s="128"/>
      <c r="F207" s="128" t="s">
        <v>867</v>
      </c>
      <c r="G207" s="524" t="s">
        <v>868</v>
      </c>
      <c r="H207" s="525"/>
      <c r="I207" s="526"/>
      <c r="J207" s="130" t="s">
        <v>869</v>
      </c>
      <c r="K207" s="130"/>
      <c r="L207" s="87" t="s">
        <v>28</v>
      </c>
      <c r="M207" s="298">
        <v>483.96</v>
      </c>
    </row>
    <row r="208" spans="1:13" s="152" customFormat="1" ht="23.25" thickBot="1">
      <c r="A208" s="521"/>
      <c r="B208" s="153" t="s">
        <v>29</v>
      </c>
      <c r="C208" s="153" t="s">
        <v>30</v>
      </c>
      <c r="D208" s="153" t="s">
        <v>31</v>
      </c>
      <c r="E208" s="527" t="s">
        <v>32</v>
      </c>
      <c r="F208" s="527"/>
      <c r="G208" s="529"/>
      <c r="H208" s="530"/>
      <c r="I208" s="531"/>
      <c r="J208" s="131" t="s">
        <v>833</v>
      </c>
      <c r="K208" s="132"/>
      <c r="L208" s="90" t="s">
        <v>28</v>
      </c>
      <c r="M208" s="300">
        <v>150.6</v>
      </c>
    </row>
    <row r="209" spans="1:13" s="152" customFormat="1" ht="45.75" thickBot="1">
      <c r="A209" s="521"/>
      <c r="B209" s="133" t="s">
        <v>870</v>
      </c>
      <c r="C209" s="133" t="s">
        <v>871</v>
      </c>
      <c r="D209" s="144">
        <v>43237</v>
      </c>
      <c r="E209" s="135" t="s">
        <v>36</v>
      </c>
      <c r="F209" s="25" t="s">
        <v>872</v>
      </c>
      <c r="G209" s="539"/>
      <c r="H209" s="540"/>
      <c r="I209" s="541"/>
      <c r="J209" s="131" t="s">
        <v>873</v>
      </c>
      <c r="K209" s="132"/>
      <c r="L209" s="90" t="s">
        <v>28</v>
      </c>
      <c r="M209" s="300">
        <v>20</v>
      </c>
    </row>
    <row r="210" spans="1:13" s="152" customFormat="1" ht="16.5" thickTop="1" thickBot="1">
      <c r="A210" s="522"/>
      <c r="B210" s="134"/>
      <c r="C210" s="134"/>
      <c r="D210" s="134"/>
      <c r="E210" s="305" t="s">
        <v>36</v>
      </c>
      <c r="F210" s="140"/>
      <c r="G210" s="539"/>
      <c r="H210" s="540"/>
      <c r="I210" s="541"/>
      <c r="J210" s="141" t="s">
        <v>41</v>
      </c>
      <c r="K210" s="142"/>
      <c r="L210" s="142"/>
      <c r="M210" s="36"/>
    </row>
    <row r="211" spans="1:13" s="152" customFormat="1" ht="24" customHeight="1" thickTop="1" thickBot="1">
      <c r="A211" s="518">
        <f>A210+144</f>
        <v>144</v>
      </c>
      <c r="B211" s="150" t="s">
        <v>19</v>
      </c>
      <c r="C211" s="150" t="s">
        <v>20</v>
      </c>
      <c r="D211" s="150" t="s">
        <v>21</v>
      </c>
      <c r="E211" s="523" t="s">
        <v>22</v>
      </c>
      <c r="F211" s="523"/>
      <c r="G211" s="523" t="s">
        <v>12</v>
      </c>
      <c r="H211" s="528"/>
      <c r="I211" s="164"/>
      <c r="J211" s="126" t="s">
        <v>39</v>
      </c>
      <c r="K211" s="127"/>
      <c r="L211" s="99"/>
      <c r="M211" s="109"/>
    </row>
    <row r="212" spans="1:13" s="152" customFormat="1" ht="45.75" thickBot="1">
      <c r="A212" s="521"/>
      <c r="B212" s="128" t="s">
        <v>874</v>
      </c>
      <c r="C212" s="128" t="s">
        <v>875</v>
      </c>
      <c r="D212" s="129">
        <v>43365</v>
      </c>
      <c r="E212" s="128"/>
      <c r="F212" s="128" t="s">
        <v>143</v>
      </c>
      <c r="G212" s="524" t="s">
        <v>876</v>
      </c>
      <c r="H212" s="525"/>
      <c r="I212" s="526"/>
      <c r="J212" s="179" t="s">
        <v>877</v>
      </c>
      <c r="K212" s="87" t="s">
        <v>28</v>
      </c>
      <c r="L212" s="87"/>
      <c r="M212" s="298">
        <v>882</v>
      </c>
    </row>
    <row r="213" spans="1:13" s="152" customFormat="1" ht="23.25" thickBot="1">
      <c r="A213" s="521"/>
      <c r="B213" s="153" t="s">
        <v>29</v>
      </c>
      <c r="C213" s="153" t="s">
        <v>30</v>
      </c>
      <c r="D213" s="153" t="s">
        <v>31</v>
      </c>
      <c r="E213" s="527" t="s">
        <v>32</v>
      </c>
      <c r="F213" s="527"/>
      <c r="G213" s="529"/>
      <c r="H213" s="530"/>
      <c r="I213" s="531"/>
      <c r="J213" s="131" t="s">
        <v>41</v>
      </c>
      <c r="K213" s="132"/>
      <c r="L213" s="90"/>
      <c r="M213" s="121"/>
    </row>
    <row r="214" spans="1:13" s="152" customFormat="1" ht="15.75" thickBot="1">
      <c r="A214" s="521"/>
      <c r="B214" s="153"/>
      <c r="C214" s="153"/>
      <c r="D214" s="153"/>
      <c r="E214" s="153"/>
      <c r="F214" s="153"/>
      <c r="G214" s="154"/>
      <c r="H214" s="155"/>
      <c r="I214" s="156"/>
      <c r="J214" s="131"/>
      <c r="K214" s="132"/>
      <c r="L214" s="90"/>
      <c r="M214" s="121"/>
    </row>
    <row r="215" spans="1:13" s="152" customFormat="1" ht="23.25" thickBot="1">
      <c r="A215" s="522"/>
      <c r="B215" s="133" t="s">
        <v>845</v>
      </c>
      <c r="C215" s="133" t="s">
        <v>876</v>
      </c>
      <c r="D215" s="144">
        <v>43368</v>
      </c>
      <c r="E215" s="135" t="s">
        <v>36</v>
      </c>
      <c r="F215" s="25" t="s">
        <v>878</v>
      </c>
      <c r="G215" s="539"/>
      <c r="H215" s="540"/>
      <c r="I215" s="541"/>
      <c r="J215" s="131" t="s">
        <v>41</v>
      </c>
      <c r="K215" s="132"/>
      <c r="L215" s="90"/>
      <c r="M215" s="121"/>
    </row>
    <row r="216" spans="1:13" s="152" customFormat="1" ht="24" customHeight="1" thickTop="1" thickBot="1">
      <c r="A216" s="518">
        <f>A215+145</f>
        <v>145</v>
      </c>
      <c r="B216" s="150" t="s">
        <v>19</v>
      </c>
      <c r="C216" s="150" t="s">
        <v>20</v>
      </c>
      <c r="D216" s="150" t="s">
        <v>21</v>
      </c>
      <c r="E216" s="523" t="s">
        <v>22</v>
      </c>
      <c r="F216" s="523"/>
      <c r="G216" s="565" t="s">
        <v>12</v>
      </c>
      <c r="H216" s="566"/>
      <c r="I216" s="567"/>
      <c r="J216" s="126" t="s">
        <v>39</v>
      </c>
      <c r="K216" s="127"/>
      <c r="L216" s="127"/>
      <c r="M216" s="137"/>
    </row>
    <row r="217" spans="1:13" s="152" customFormat="1" ht="34.5" thickBot="1">
      <c r="A217" s="521"/>
      <c r="B217" s="128" t="s">
        <v>879</v>
      </c>
      <c r="C217" s="128" t="s">
        <v>880</v>
      </c>
      <c r="D217" s="129">
        <v>43276</v>
      </c>
      <c r="E217" s="128"/>
      <c r="F217" s="128" t="s">
        <v>137</v>
      </c>
      <c r="G217" s="524" t="s">
        <v>881</v>
      </c>
      <c r="H217" s="585"/>
      <c r="I217" s="586"/>
      <c r="J217" s="13" t="s">
        <v>882</v>
      </c>
      <c r="K217" s="14" t="s">
        <v>28</v>
      </c>
      <c r="L217" s="15"/>
      <c r="M217" s="31">
        <v>103.5</v>
      </c>
    </row>
    <row r="218" spans="1:13" s="152" customFormat="1" ht="23.25" thickBot="1">
      <c r="A218" s="521"/>
      <c r="B218" s="153" t="s">
        <v>29</v>
      </c>
      <c r="C218" s="153" t="s">
        <v>30</v>
      </c>
      <c r="D218" s="153" t="s">
        <v>31</v>
      </c>
      <c r="E218" s="580" t="s">
        <v>32</v>
      </c>
      <c r="F218" s="581"/>
      <c r="G218" s="529"/>
      <c r="H218" s="530"/>
      <c r="I218" s="531"/>
      <c r="J218" s="16" t="s">
        <v>883</v>
      </c>
      <c r="K218" s="15"/>
      <c r="L218" s="17" t="s">
        <v>28</v>
      </c>
      <c r="M218" s="32">
        <v>395</v>
      </c>
    </row>
    <row r="219" spans="1:13" s="152" customFormat="1" ht="34.5" thickBot="1">
      <c r="A219" s="522"/>
      <c r="B219" s="133" t="s">
        <v>884</v>
      </c>
      <c r="C219" s="128" t="s">
        <v>197</v>
      </c>
      <c r="D219" s="129">
        <v>43280</v>
      </c>
      <c r="E219" s="135" t="s">
        <v>36</v>
      </c>
      <c r="F219" s="136" t="s">
        <v>885</v>
      </c>
      <c r="G219" s="582"/>
      <c r="H219" s="583"/>
      <c r="I219" s="584"/>
      <c r="J219" s="20" t="s">
        <v>38</v>
      </c>
      <c r="K219" s="21" t="s">
        <v>28</v>
      </c>
      <c r="L219" s="21"/>
      <c r="M219" s="27">
        <v>174.84</v>
      </c>
    </row>
    <row r="220" spans="1:13" s="152" customFormat="1" ht="24" customHeight="1" thickTop="1" thickBot="1">
      <c r="A220" s="518">
        <f>A219+146</f>
        <v>146</v>
      </c>
      <c r="B220" s="150" t="s">
        <v>19</v>
      </c>
      <c r="C220" s="150" t="s">
        <v>20</v>
      </c>
      <c r="D220" s="150" t="s">
        <v>21</v>
      </c>
      <c r="E220" s="523" t="s">
        <v>22</v>
      </c>
      <c r="F220" s="523"/>
      <c r="G220" s="565" t="s">
        <v>12</v>
      </c>
      <c r="H220" s="566"/>
      <c r="I220" s="567"/>
      <c r="J220" s="126" t="s">
        <v>39</v>
      </c>
      <c r="K220" s="99"/>
      <c r="L220" s="99"/>
      <c r="M220" s="306"/>
    </row>
    <row r="221" spans="1:13" s="152" customFormat="1" ht="34.5" thickBot="1">
      <c r="A221" s="521"/>
      <c r="B221" s="128" t="s">
        <v>886</v>
      </c>
      <c r="C221" s="128" t="s">
        <v>887</v>
      </c>
      <c r="D221" s="129">
        <v>43223</v>
      </c>
      <c r="E221" s="128"/>
      <c r="F221" s="128" t="s">
        <v>119</v>
      </c>
      <c r="G221" s="524" t="s">
        <v>888</v>
      </c>
      <c r="H221" s="585"/>
      <c r="I221" s="586"/>
      <c r="J221" s="130" t="s">
        <v>889</v>
      </c>
      <c r="K221" s="87"/>
      <c r="L221" s="87" t="s">
        <v>28</v>
      </c>
      <c r="M221" s="307">
        <v>261.64999999999998</v>
      </c>
    </row>
    <row r="222" spans="1:13" s="152" customFormat="1" ht="23.25" thickBot="1">
      <c r="A222" s="521"/>
      <c r="B222" s="153" t="s">
        <v>29</v>
      </c>
      <c r="C222" s="153" t="s">
        <v>30</v>
      </c>
      <c r="D222" s="153" t="s">
        <v>31</v>
      </c>
      <c r="E222" s="580" t="s">
        <v>32</v>
      </c>
      <c r="F222" s="581"/>
      <c r="G222" s="529"/>
      <c r="H222" s="530"/>
      <c r="I222" s="531"/>
      <c r="J222" s="131" t="s">
        <v>890</v>
      </c>
      <c r="K222" s="90"/>
      <c r="L222" s="90" t="s">
        <v>28</v>
      </c>
      <c r="M222" s="308">
        <v>16</v>
      </c>
    </row>
    <row r="223" spans="1:13" s="152" customFormat="1" ht="23.25" thickBot="1">
      <c r="A223" s="522"/>
      <c r="B223" s="133" t="s">
        <v>891</v>
      </c>
      <c r="C223" s="133" t="s">
        <v>888</v>
      </c>
      <c r="D223" s="144">
        <v>43224</v>
      </c>
      <c r="E223" s="135" t="s">
        <v>36</v>
      </c>
      <c r="F223" s="136" t="s">
        <v>892</v>
      </c>
      <c r="G223" s="582"/>
      <c r="H223" s="583"/>
      <c r="I223" s="584"/>
      <c r="J223" s="131" t="s">
        <v>41</v>
      </c>
      <c r="K223" s="90"/>
      <c r="L223" s="90"/>
      <c r="M223" s="308"/>
    </row>
    <row r="224" spans="1:13" s="152" customFormat="1" ht="24" customHeight="1" thickTop="1" thickBot="1">
      <c r="A224" s="518">
        <f>A223+147</f>
        <v>147</v>
      </c>
      <c r="B224" s="150" t="s">
        <v>19</v>
      </c>
      <c r="C224" s="150" t="s">
        <v>20</v>
      </c>
      <c r="D224" s="150" t="s">
        <v>21</v>
      </c>
      <c r="E224" s="528" t="s">
        <v>22</v>
      </c>
      <c r="F224" s="579"/>
      <c r="G224" s="528" t="s">
        <v>12</v>
      </c>
      <c r="H224" s="593"/>
      <c r="I224" s="164"/>
      <c r="J224" s="126" t="s">
        <v>39</v>
      </c>
      <c r="K224" s="99"/>
      <c r="L224" s="99"/>
      <c r="M224" s="137"/>
    </row>
    <row r="225" spans="1:13" s="152" customFormat="1" ht="23.25" thickBot="1">
      <c r="A225" s="521"/>
      <c r="B225" s="128" t="s">
        <v>886</v>
      </c>
      <c r="C225" s="128" t="s">
        <v>893</v>
      </c>
      <c r="D225" s="129">
        <v>43268</v>
      </c>
      <c r="E225" s="128"/>
      <c r="F225" s="128" t="s">
        <v>894</v>
      </c>
      <c r="G225" s="524" t="s">
        <v>888</v>
      </c>
      <c r="H225" s="585"/>
      <c r="I225" s="586"/>
      <c r="J225" s="130" t="s">
        <v>895</v>
      </c>
      <c r="K225" s="87"/>
      <c r="L225" s="87" t="s">
        <v>42</v>
      </c>
      <c r="M225" s="146">
        <v>792</v>
      </c>
    </row>
    <row r="226" spans="1:13" s="152" customFormat="1" ht="23.25" thickBot="1">
      <c r="A226" s="521"/>
      <c r="B226" s="153" t="s">
        <v>29</v>
      </c>
      <c r="C226" s="153" t="s">
        <v>30</v>
      </c>
      <c r="D226" s="153" t="s">
        <v>31</v>
      </c>
      <c r="E226" s="580" t="s">
        <v>32</v>
      </c>
      <c r="F226" s="581"/>
      <c r="G226" s="529"/>
      <c r="H226" s="530"/>
      <c r="I226" s="531"/>
      <c r="J226" s="131" t="s">
        <v>33</v>
      </c>
      <c r="K226" s="90"/>
      <c r="L226" s="90" t="s">
        <v>42</v>
      </c>
      <c r="M226" s="309">
        <v>323</v>
      </c>
    </row>
    <row r="227" spans="1:13" s="152" customFormat="1" ht="15.75" thickBot="1">
      <c r="A227" s="521"/>
      <c r="B227" s="153"/>
      <c r="C227" s="153"/>
      <c r="D227" s="153"/>
      <c r="E227" s="172"/>
      <c r="F227" s="173"/>
      <c r="G227" s="154"/>
      <c r="H227" s="155"/>
      <c r="I227" s="156"/>
      <c r="J227" s="131" t="s">
        <v>714</v>
      </c>
      <c r="K227" s="90"/>
      <c r="L227" s="90" t="s">
        <v>42</v>
      </c>
      <c r="M227" s="115">
        <v>4000</v>
      </c>
    </row>
    <row r="228" spans="1:13" s="152" customFormat="1" ht="23.25" thickBot="1">
      <c r="A228" s="522"/>
      <c r="B228" s="134" t="s">
        <v>891</v>
      </c>
      <c r="C228" s="134" t="s">
        <v>888</v>
      </c>
      <c r="D228" s="144">
        <v>43272</v>
      </c>
      <c r="E228" s="135" t="s">
        <v>36</v>
      </c>
      <c r="F228" s="140" t="s">
        <v>896</v>
      </c>
      <c r="G228" s="539"/>
      <c r="H228" s="540"/>
      <c r="I228" s="541"/>
      <c r="J228" s="141" t="s">
        <v>38</v>
      </c>
      <c r="K228" s="110"/>
      <c r="L228" s="110" t="s">
        <v>42</v>
      </c>
      <c r="M228" s="310">
        <v>239</v>
      </c>
    </row>
    <row r="229" spans="1:13" s="152" customFormat="1" ht="24" customHeight="1" thickTop="1" thickBot="1">
      <c r="A229" s="518">
        <f>A223+148</f>
        <v>148</v>
      </c>
      <c r="B229" s="150" t="s">
        <v>19</v>
      </c>
      <c r="C229" s="150" t="s">
        <v>20</v>
      </c>
      <c r="D229" s="150" t="s">
        <v>21</v>
      </c>
      <c r="E229" s="523" t="s">
        <v>22</v>
      </c>
      <c r="F229" s="523"/>
      <c r="G229" s="565" t="s">
        <v>12</v>
      </c>
      <c r="H229" s="566"/>
      <c r="I229" s="567"/>
      <c r="J229" s="126" t="s">
        <v>39</v>
      </c>
      <c r="K229" s="127"/>
      <c r="L229" s="127"/>
      <c r="M229" s="137"/>
    </row>
    <row r="230" spans="1:13" s="152" customFormat="1" ht="34.5" thickBot="1">
      <c r="A230" s="521"/>
      <c r="B230" s="128" t="s">
        <v>897</v>
      </c>
      <c r="C230" s="128" t="s">
        <v>898</v>
      </c>
      <c r="D230" s="129">
        <v>43278</v>
      </c>
      <c r="E230" s="128"/>
      <c r="F230" s="128" t="s">
        <v>899</v>
      </c>
      <c r="G230" s="524" t="s">
        <v>900</v>
      </c>
      <c r="H230" s="585"/>
      <c r="I230" s="586"/>
      <c r="J230" s="130" t="s">
        <v>27</v>
      </c>
      <c r="K230" s="130"/>
      <c r="L230" s="130" t="s">
        <v>42</v>
      </c>
      <c r="M230" s="23">
        <v>732</v>
      </c>
    </row>
    <row r="231" spans="1:13" s="152" customFormat="1" ht="23.25" thickBot="1">
      <c r="A231" s="521"/>
      <c r="B231" s="153" t="s">
        <v>29</v>
      </c>
      <c r="C231" s="153" t="s">
        <v>30</v>
      </c>
      <c r="D231" s="153" t="s">
        <v>31</v>
      </c>
      <c r="E231" s="580" t="s">
        <v>32</v>
      </c>
      <c r="F231" s="581"/>
      <c r="G231" s="529"/>
      <c r="H231" s="530"/>
      <c r="I231" s="531"/>
      <c r="J231" s="131" t="s">
        <v>33</v>
      </c>
      <c r="K231" s="132"/>
      <c r="L231" s="132" t="s">
        <v>28</v>
      </c>
      <c r="M231" s="138">
        <v>495.09</v>
      </c>
    </row>
    <row r="232" spans="1:13" s="152" customFormat="1" ht="34.5" thickBot="1">
      <c r="A232" s="522"/>
      <c r="B232" s="133" t="s">
        <v>901</v>
      </c>
      <c r="C232" s="133" t="s">
        <v>898</v>
      </c>
      <c r="D232" s="144">
        <v>43281</v>
      </c>
      <c r="E232" s="135" t="s">
        <v>36</v>
      </c>
      <c r="F232" s="136" t="s">
        <v>902</v>
      </c>
      <c r="G232" s="582"/>
      <c r="H232" s="583"/>
      <c r="I232" s="584"/>
      <c r="J232" s="131" t="s">
        <v>38</v>
      </c>
      <c r="K232" s="132"/>
      <c r="L232" s="132" t="s">
        <v>42</v>
      </c>
      <c r="M232" s="138">
        <v>259</v>
      </c>
    </row>
    <row r="233" spans="1:13" s="152" customFormat="1" ht="24" customHeight="1" thickTop="1" thickBot="1">
      <c r="A233" s="518">
        <f>A232+149</f>
        <v>149</v>
      </c>
      <c r="B233" s="150" t="s">
        <v>19</v>
      </c>
      <c r="C233" s="150" t="s">
        <v>20</v>
      </c>
      <c r="D233" s="150" t="s">
        <v>21</v>
      </c>
      <c r="E233" s="523" t="s">
        <v>22</v>
      </c>
      <c r="F233" s="523"/>
      <c r="G233" s="565" t="s">
        <v>12</v>
      </c>
      <c r="H233" s="566"/>
      <c r="I233" s="567"/>
      <c r="J233" s="126" t="s">
        <v>39</v>
      </c>
      <c r="K233" s="127"/>
      <c r="L233" s="127"/>
      <c r="M233" s="137"/>
    </row>
    <row r="234" spans="1:13" s="152" customFormat="1" ht="23.25" thickBot="1">
      <c r="A234" s="521"/>
      <c r="B234" s="128" t="s">
        <v>903</v>
      </c>
      <c r="C234" s="128" t="s">
        <v>904</v>
      </c>
      <c r="D234" s="129">
        <v>43303</v>
      </c>
      <c r="E234" s="128"/>
      <c r="F234" s="128" t="s">
        <v>905</v>
      </c>
      <c r="G234" s="524" t="s">
        <v>906</v>
      </c>
      <c r="H234" s="585"/>
      <c r="I234" s="586"/>
      <c r="J234" s="130" t="s">
        <v>108</v>
      </c>
      <c r="K234" s="87" t="s">
        <v>28</v>
      </c>
      <c r="L234" s="130"/>
      <c r="M234" s="88">
        <v>615</v>
      </c>
    </row>
    <row r="235" spans="1:13" s="152" customFormat="1" ht="23.25" thickBot="1">
      <c r="A235" s="521"/>
      <c r="B235" s="153" t="s">
        <v>29</v>
      </c>
      <c r="C235" s="153" t="s">
        <v>30</v>
      </c>
      <c r="D235" s="153" t="s">
        <v>31</v>
      </c>
      <c r="E235" s="580" t="s">
        <v>32</v>
      </c>
      <c r="F235" s="581"/>
      <c r="G235" s="529"/>
      <c r="H235" s="530"/>
      <c r="I235" s="531"/>
      <c r="J235" s="131" t="s">
        <v>98</v>
      </c>
      <c r="K235" s="90" t="s">
        <v>28</v>
      </c>
      <c r="L235" s="132"/>
      <c r="M235" s="116">
        <v>401.67</v>
      </c>
    </row>
    <row r="236" spans="1:13" s="152" customFormat="1" ht="45.75" thickBot="1">
      <c r="A236" s="522"/>
      <c r="B236" s="133" t="s">
        <v>907</v>
      </c>
      <c r="C236" s="133" t="s">
        <v>908</v>
      </c>
      <c r="D236" s="144">
        <v>43306</v>
      </c>
      <c r="E236" s="135" t="s">
        <v>36</v>
      </c>
      <c r="F236" s="136" t="s">
        <v>909</v>
      </c>
      <c r="G236" s="582"/>
      <c r="H236" s="583"/>
      <c r="I236" s="584"/>
      <c r="J236" s="131" t="s">
        <v>910</v>
      </c>
      <c r="K236" s="90" t="s">
        <v>28</v>
      </c>
      <c r="L236" s="132"/>
      <c r="M236" s="116">
        <v>477.15</v>
      </c>
    </row>
    <row r="237" spans="1:13" s="152" customFormat="1" ht="24" customHeight="1" thickTop="1" thickBot="1">
      <c r="A237" s="518">
        <f>A236+150</f>
        <v>150</v>
      </c>
      <c r="B237" s="150" t="s">
        <v>19</v>
      </c>
      <c r="C237" s="150" t="s">
        <v>20</v>
      </c>
      <c r="D237" s="150" t="s">
        <v>21</v>
      </c>
      <c r="E237" s="528" t="s">
        <v>22</v>
      </c>
      <c r="F237" s="579"/>
      <c r="G237" s="528" t="s">
        <v>12</v>
      </c>
      <c r="H237" s="593"/>
      <c r="I237" s="164"/>
      <c r="J237" s="126" t="s">
        <v>39</v>
      </c>
      <c r="K237" s="127"/>
      <c r="L237" s="127"/>
      <c r="M237" s="137"/>
    </row>
    <row r="238" spans="1:13" s="152" customFormat="1" ht="23.25" thickBot="1">
      <c r="A238" s="521"/>
      <c r="B238" s="128" t="s">
        <v>911</v>
      </c>
      <c r="C238" s="128" t="s">
        <v>904</v>
      </c>
      <c r="D238" s="129">
        <v>43303</v>
      </c>
      <c r="E238" s="128"/>
      <c r="F238" s="128" t="s">
        <v>905</v>
      </c>
      <c r="G238" s="524" t="s">
        <v>906</v>
      </c>
      <c r="H238" s="585"/>
      <c r="I238" s="586"/>
      <c r="J238" s="130" t="s">
        <v>108</v>
      </c>
      <c r="K238" s="87" t="s">
        <v>28</v>
      </c>
      <c r="L238" s="130"/>
      <c r="M238" s="117">
        <v>615</v>
      </c>
    </row>
    <row r="239" spans="1:13" s="152" customFormat="1" ht="23.25" thickBot="1">
      <c r="A239" s="521"/>
      <c r="B239" s="153" t="s">
        <v>29</v>
      </c>
      <c r="C239" s="153" t="s">
        <v>30</v>
      </c>
      <c r="D239" s="153" t="s">
        <v>31</v>
      </c>
      <c r="E239" s="580" t="s">
        <v>32</v>
      </c>
      <c r="F239" s="581"/>
      <c r="G239" s="529"/>
      <c r="H239" s="530"/>
      <c r="I239" s="531"/>
      <c r="J239" s="131" t="s">
        <v>98</v>
      </c>
      <c r="K239" s="90" t="s">
        <v>28</v>
      </c>
      <c r="L239" s="132"/>
      <c r="M239" s="101">
        <v>416.38</v>
      </c>
    </row>
    <row r="240" spans="1:13" s="152" customFormat="1" ht="45.75" thickBot="1">
      <c r="A240" s="522"/>
      <c r="B240" s="134" t="s">
        <v>912</v>
      </c>
      <c r="C240" s="133" t="s">
        <v>908</v>
      </c>
      <c r="D240" s="144">
        <v>43306</v>
      </c>
      <c r="E240" s="135" t="s">
        <v>36</v>
      </c>
      <c r="F240" s="140" t="s">
        <v>909</v>
      </c>
      <c r="G240" s="539"/>
      <c r="H240" s="540"/>
      <c r="I240" s="541"/>
      <c r="J240" s="141" t="s">
        <v>203</v>
      </c>
      <c r="K240" s="110" t="s">
        <v>28</v>
      </c>
      <c r="L240" s="142"/>
      <c r="M240" s="311">
        <v>477.15</v>
      </c>
    </row>
    <row r="241" spans="1:13" s="152" customFormat="1" ht="24" customHeight="1" thickTop="1" thickBot="1">
      <c r="A241" s="518">
        <f>A240+151</f>
        <v>151</v>
      </c>
      <c r="B241" s="150" t="s">
        <v>19</v>
      </c>
      <c r="C241" s="150" t="s">
        <v>20</v>
      </c>
      <c r="D241" s="150" t="s">
        <v>21</v>
      </c>
      <c r="E241" s="523" t="s">
        <v>22</v>
      </c>
      <c r="F241" s="523"/>
      <c r="G241" s="523" t="s">
        <v>12</v>
      </c>
      <c r="H241" s="528"/>
      <c r="I241" s="164"/>
      <c r="J241" s="126" t="s">
        <v>39</v>
      </c>
      <c r="K241" s="127"/>
      <c r="L241" s="127"/>
      <c r="M241" s="22"/>
    </row>
    <row r="242" spans="1:13" s="152" customFormat="1" ht="23.25" thickBot="1">
      <c r="A242" s="521"/>
      <c r="B242" s="128" t="s">
        <v>913</v>
      </c>
      <c r="C242" s="128" t="s">
        <v>904</v>
      </c>
      <c r="D242" s="129">
        <v>43303</v>
      </c>
      <c r="E242" s="128"/>
      <c r="F242" s="128" t="s">
        <v>905</v>
      </c>
      <c r="G242" s="524" t="s">
        <v>906</v>
      </c>
      <c r="H242" s="585"/>
      <c r="I242" s="586"/>
      <c r="J242" s="130" t="s">
        <v>108</v>
      </c>
      <c r="K242" s="87" t="s">
        <v>28</v>
      </c>
      <c r="L242" s="130"/>
      <c r="M242" s="88">
        <v>615</v>
      </c>
    </row>
    <row r="243" spans="1:13" s="152" customFormat="1" ht="23.25" thickBot="1">
      <c r="A243" s="521"/>
      <c r="B243" s="153" t="s">
        <v>29</v>
      </c>
      <c r="C243" s="153" t="s">
        <v>30</v>
      </c>
      <c r="D243" s="153" t="s">
        <v>31</v>
      </c>
      <c r="E243" s="527" t="s">
        <v>32</v>
      </c>
      <c r="F243" s="527"/>
      <c r="G243" s="529"/>
      <c r="H243" s="530"/>
      <c r="I243" s="531"/>
      <c r="J243" s="131" t="s">
        <v>98</v>
      </c>
      <c r="K243" s="132"/>
      <c r="L243" s="132"/>
      <c r="M243" s="312">
        <v>0</v>
      </c>
    </row>
    <row r="244" spans="1:13" s="152" customFormat="1" ht="45.75" thickBot="1">
      <c r="A244" s="522"/>
      <c r="B244" s="133" t="s">
        <v>907</v>
      </c>
      <c r="C244" s="133" t="s">
        <v>908</v>
      </c>
      <c r="D244" s="144">
        <v>43306</v>
      </c>
      <c r="E244" s="135" t="s">
        <v>36</v>
      </c>
      <c r="F244" s="25" t="s">
        <v>909</v>
      </c>
      <c r="G244" s="539"/>
      <c r="H244" s="540"/>
      <c r="I244" s="541"/>
      <c r="J244" s="141" t="s">
        <v>203</v>
      </c>
      <c r="K244" s="90" t="s">
        <v>28</v>
      </c>
      <c r="L244" s="132"/>
      <c r="M244" s="108">
        <v>342.99</v>
      </c>
    </row>
    <row r="245" spans="1:13" s="152" customFormat="1" ht="24" customHeight="1" thickTop="1" thickBot="1">
      <c r="A245" s="518">
        <f>A244+152</f>
        <v>152</v>
      </c>
      <c r="B245" s="150" t="s">
        <v>19</v>
      </c>
      <c r="C245" s="150" t="s">
        <v>20</v>
      </c>
      <c r="D245" s="150" t="s">
        <v>21</v>
      </c>
      <c r="E245" s="523" t="s">
        <v>22</v>
      </c>
      <c r="F245" s="523"/>
      <c r="G245" s="565" t="s">
        <v>12</v>
      </c>
      <c r="H245" s="566"/>
      <c r="I245" s="567"/>
      <c r="J245" s="126" t="s">
        <v>39</v>
      </c>
      <c r="K245" s="127"/>
      <c r="L245" s="127"/>
      <c r="M245" s="137"/>
    </row>
    <row r="246" spans="1:13" s="152" customFormat="1" ht="45.75" thickBot="1">
      <c r="A246" s="521"/>
      <c r="B246" s="128" t="s">
        <v>914</v>
      </c>
      <c r="C246" s="9" t="s">
        <v>915</v>
      </c>
      <c r="D246" s="129">
        <v>43215</v>
      </c>
      <c r="E246" s="128"/>
      <c r="F246" s="128" t="s">
        <v>187</v>
      </c>
      <c r="G246" s="524" t="s">
        <v>916</v>
      </c>
      <c r="H246" s="585"/>
      <c r="I246" s="586"/>
      <c r="J246" s="130" t="s">
        <v>163</v>
      </c>
      <c r="K246" s="130"/>
      <c r="L246" s="130" t="s">
        <v>28</v>
      </c>
      <c r="M246" s="65">
        <v>566</v>
      </c>
    </row>
    <row r="247" spans="1:13" s="152" customFormat="1" ht="23.25" thickBot="1">
      <c r="A247" s="521"/>
      <c r="B247" s="153" t="s">
        <v>29</v>
      </c>
      <c r="C247" s="153" t="s">
        <v>30</v>
      </c>
      <c r="D247" s="153" t="s">
        <v>31</v>
      </c>
      <c r="E247" s="580" t="s">
        <v>32</v>
      </c>
      <c r="F247" s="581"/>
      <c r="G247" s="529"/>
      <c r="H247" s="530"/>
      <c r="I247" s="531"/>
      <c r="J247" s="131" t="s">
        <v>108</v>
      </c>
      <c r="K247" s="132"/>
      <c r="L247" s="132" t="s">
        <v>28</v>
      </c>
      <c r="M247" s="80">
        <v>175</v>
      </c>
    </row>
    <row r="248" spans="1:13" s="152" customFormat="1" ht="34.5" thickBot="1">
      <c r="A248" s="522"/>
      <c r="B248" s="133" t="s">
        <v>917</v>
      </c>
      <c r="C248" s="133" t="s">
        <v>918</v>
      </c>
      <c r="D248" s="144">
        <v>43217</v>
      </c>
      <c r="E248" s="135" t="s">
        <v>36</v>
      </c>
      <c r="F248" s="136" t="s">
        <v>919</v>
      </c>
      <c r="G248" s="582"/>
      <c r="H248" s="583"/>
      <c r="I248" s="584"/>
      <c r="J248" s="131" t="s">
        <v>38</v>
      </c>
      <c r="K248" s="132"/>
      <c r="L248" s="132" t="s">
        <v>28</v>
      </c>
      <c r="M248" s="80">
        <v>55</v>
      </c>
    </row>
    <row r="249" spans="1:13" s="152" customFormat="1" ht="24" customHeight="1" thickTop="1" thickBot="1">
      <c r="A249" s="518">
        <f>A248+153</f>
        <v>153</v>
      </c>
      <c r="B249" s="313" t="s">
        <v>19</v>
      </c>
      <c r="C249" s="314" t="s">
        <v>20</v>
      </c>
      <c r="D249" s="313" t="s">
        <v>21</v>
      </c>
      <c r="E249" s="778" t="s">
        <v>22</v>
      </c>
      <c r="F249" s="778"/>
      <c r="G249" s="779" t="s">
        <v>12</v>
      </c>
      <c r="H249" s="780"/>
      <c r="I249" s="781"/>
      <c r="J249" s="315" t="s">
        <v>39</v>
      </c>
      <c r="K249" s="316"/>
      <c r="L249" s="316"/>
      <c r="M249" s="317"/>
    </row>
    <row r="250" spans="1:13" s="152" customFormat="1" ht="57.75" thickBot="1">
      <c r="A250" s="521"/>
      <c r="B250" s="318" t="s">
        <v>920</v>
      </c>
      <c r="C250" s="319" t="s">
        <v>921</v>
      </c>
      <c r="D250" s="320">
        <v>43198</v>
      </c>
      <c r="E250" s="318"/>
      <c r="F250" s="321" t="s">
        <v>922</v>
      </c>
      <c r="G250" s="782" t="s">
        <v>923</v>
      </c>
      <c r="H250" s="783"/>
      <c r="I250" s="784"/>
      <c r="J250" s="322" t="s">
        <v>27</v>
      </c>
      <c r="K250" s="322"/>
      <c r="L250" s="322"/>
      <c r="M250" s="323">
        <v>0</v>
      </c>
    </row>
    <row r="251" spans="1:13" s="152" customFormat="1" ht="23.25" thickBot="1">
      <c r="A251" s="521"/>
      <c r="B251" s="324" t="s">
        <v>29</v>
      </c>
      <c r="C251" s="325" t="s">
        <v>30</v>
      </c>
      <c r="D251" s="324" t="s">
        <v>31</v>
      </c>
      <c r="E251" s="785" t="s">
        <v>32</v>
      </c>
      <c r="F251" s="786"/>
      <c r="G251" s="772"/>
      <c r="H251" s="773"/>
      <c r="I251" s="774"/>
      <c r="J251" s="326" t="s">
        <v>33</v>
      </c>
      <c r="K251" s="327"/>
      <c r="L251" s="327" t="s">
        <v>28</v>
      </c>
      <c r="M251" s="328">
        <v>640</v>
      </c>
    </row>
    <row r="252" spans="1:13" s="152" customFormat="1" ht="34.5" thickBot="1">
      <c r="A252" s="522"/>
      <c r="B252" s="329" t="s">
        <v>924</v>
      </c>
      <c r="C252" s="330" t="s">
        <v>925</v>
      </c>
      <c r="D252" s="331">
        <v>43201</v>
      </c>
      <c r="E252" s="332" t="s">
        <v>36</v>
      </c>
      <c r="F252" s="333">
        <v>43197</v>
      </c>
      <c r="G252" s="775"/>
      <c r="H252" s="776"/>
      <c r="I252" s="777"/>
      <c r="J252" s="326" t="s">
        <v>162</v>
      </c>
      <c r="K252" s="327"/>
      <c r="L252" s="327"/>
      <c r="M252" s="328">
        <v>0</v>
      </c>
    </row>
    <row r="253" spans="1:13" s="152" customFormat="1" ht="24" customHeight="1" thickTop="1" thickBot="1">
      <c r="A253" s="518">
        <f>A252+154</f>
        <v>154</v>
      </c>
      <c r="B253" s="150" t="s">
        <v>19</v>
      </c>
      <c r="C253" s="150" t="s">
        <v>20</v>
      </c>
      <c r="D253" s="150" t="s">
        <v>21</v>
      </c>
      <c r="E253" s="523" t="s">
        <v>22</v>
      </c>
      <c r="F253" s="523"/>
      <c r="G253" s="565" t="s">
        <v>12</v>
      </c>
      <c r="H253" s="566"/>
      <c r="I253" s="567"/>
      <c r="J253" s="126" t="s">
        <v>39</v>
      </c>
      <c r="K253" s="127"/>
      <c r="L253" s="127"/>
      <c r="M253" s="137"/>
    </row>
    <row r="254" spans="1:13" s="152" customFormat="1" ht="15.75" thickBot="1">
      <c r="A254" s="521"/>
      <c r="B254" s="334" t="s">
        <v>926</v>
      </c>
      <c r="C254" s="334" t="s">
        <v>927</v>
      </c>
      <c r="D254" s="335">
        <v>43250</v>
      </c>
      <c r="E254" s="334"/>
      <c r="F254" s="334" t="s">
        <v>122</v>
      </c>
      <c r="G254" s="744" t="s">
        <v>255</v>
      </c>
      <c r="H254" s="745"/>
      <c r="I254" s="746"/>
      <c r="J254" s="336" t="s">
        <v>27</v>
      </c>
      <c r="K254" s="336"/>
      <c r="L254" s="337" t="s">
        <v>28</v>
      </c>
      <c r="M254" s="338">
        <v>833.4</v>
      </c>
    </row>
    <row r="255" spans="1:13" s="152" customFormat="1" ht="23.25" thickBot="1">
      <c r="A255" s="521"/>
      <c r="B255" s="339" t="s">
        <v>29</v>
      </c>
      <c r="C255" s="339" t="s">
        <v>30</v>
      </c>
      <c r="D255" s="339" t="s">
        <v>31</v>
      </c>
      <c r="E255" s="747" t="s">
        <v>32</v>
      </c>
      <c r="F255" s="748"/>
      <c r="G255" s="752"/>
      <c r="H255" s="753"/>
      <c r="I255" s="754"/>
      <c r="J255" s="340" t="s">
        <v>98</v>
      </c>
      <c r="K255" s="341"/>
      <c r="L255" s="342" t="s">
        <v>28</v>
      </c>
      <c r="M255" s="343">
        <v>128.4</v>
      </c>
    </row>
    <row r="256" spans="1:13" s="152" customFormat="1" ht="23.25" thickBot="1">
      <c r="A256" s="522"/>
      <c r="B256" s="334" t="s">
        <v>928</v>
      </c>
      <c r="C256" s="334" t="s">
        <v>929</v>
      </c>
      <c r="D256" s="344">
        <v>43252</v>
      </c>
      <c r="E256" s="345" t="s">
        <v>36</v>
      </c>
      <c r="F256" s="346" t="s">
        <v>930</v>
      </c>
      <c r="G256" s="755"/>
      <c r="H256" s="756"/>
      <c r="I256" s="757"/>
      <c r="J256" s="340" t="s">
        <v>136</v>
      </c>
      <c r="K256" s="341"/>
      <c r="L256" s="342" t="s">
        <v>28</v>
      </c>
      <c r="M256" s="343">
        <v>250</v>
      </c>
    </row>
    <row r="257" spans="1:13" s="152" customFormat="1" ht="24" customHeight="1" thickTop="1" thickBot="1">
      <c r="A257" s="518">
        <f>A256+155</f>
        <v>155</v>
      </c>
      <c r="B257" s="347" t="s">
        <v>19</v>
      </c>
      <c r="C257" s="347" t="s">
        <v>20</v>
      </c>
      <c r="D257" s="347" t="s">
        <v>21</v>
      </c>
      <c r="E257" s="769" t="s">
        <v>22</v>
      </c>
      <c r="F257" s="770"/>
      <c r="G257" s="769" t="s">
        <v>12</v>
      </c>
      <c r="H257" s="771"/>
      <c r="I257" s="348"/>
      <c r="J257" s="349" t="s">
        <v>39</v>
      </c>
      <c r="K257" s="350"/>
      <c r="L257" s="350"/>
      <c r="M257" s="351"/>
    </row>
    <row r="258" spans="1:13" s="152" customFormat="1" ht="15.75" thickBot="1">
      <c r="A258" s="521"/>
      <c r="B258" s="334" t="s">
        <v>931</v>
      </c>
      <c r="C258" s="334" t="s">
        <v>927</v>
      </c>
      <c r="D258" s="335">
        <v>43250</v>
      </c>
      <c r="E258" s="334"/>
      <c r="F258" s="334" t="s">
        <v>122</v>
      </c>
      <c r="G258" s="744" t="s">
        <v>255</v>
      </c>
      <c r="H258" s="745"/>
      <c r="I258" s="746"/>
      <c r="J258" s="336" t="s">
        <v>27</v>
      </c>
      <c r="K258" s="336"/>
      <c r="L258" s="337" t="s">
        <v>28</v>
      </c>
      <c r="M258" s="352">
        <v>1041.75</v>
      </c>
    </row>
    <row r="259" spans="1:13" s="152" customFormat="1" ht="23.25" thickBot="1">
      <c r="A259" s="521"/>
      <c r="B259" s="339" t="s">
        <v>29</v>
      </c>
      <c r="C259" s="339" t="s">
        <v>30</v>
      </c>
      <c r="D259" s="339" t="s">
        <v>31</v>
      </c>
      <c r="E259" s="747" t="s">
        <v>32</v>
      </c>
      <c r="F259" s="748"/>
      <c r="G259" s="752"/>
      <c r="H259" s="753"/>
      <c r="I259" s="754"/>
      <c r="J259" s="340" t="s">
        <v>98</v>
      </c>
      <c r="K259" s="341"/>
      <c r="L259" s="342" t="s">
        <v>28</v>
      </c>
      <c r="M259" s="353">
        <v>250</v>
      </c>
    </row>
    <row r="260" spans="1:13" s="152" customFormat="1" ht="23.25" thickBot="1">
      <c r="A260" s="522"/>
      <c r="B260" s="354" t="s">
        <v>932</v>
      </c>
      <c r="C260" s="354" t="s">
        <v>933</v>
      </c>
      <c r="D260" s="344">
        <v>43252</v>
      </c>
      <c r="E260" s="345" t="s">
        <v>36</v>
      </c>
      <c r="F260" s="346" t="s">
        <v>934</v>
      </c>
      <c r="G260" s="765"/>
      <c r="H260" s="766"/>
      <c r="I260" s="767"/>
      <c r="J260" s="340" t="s">
        <v>136</v>
      </c>
      <c r="K260" s="341"/>
      <c r="L260" s="342" t="s">
        <v>28</v>
      </c>
      <c r="M260" s="355">
        <v>250</v>
      </c>
    </row>
    <row r="261" spans="1:13" s="152" customFormat="1" ht="24" customHeight="1" thickTop="1" thickBot="1">
      <c r="A261" s="518">
        <f>A260+156</f>
        <v>156</v>
      </c>
      <c r="B261" s="347" t="s">
        <v>19</v>
      </c>
      <c r="C261" s="347" t="s">
        <v>20</v>
      </c>
      <c r="D261" s="347" t="s">
        <v>21</v>
      </c>
      <c r="E261" s="743" t="s">
        <v>22</v>
      </c>
      <c r="F261" s="743"/>
      <c r="G261" s="743" t="s">
        <v>12</v>
      </c>
      <c r="H261" s="769"/>
      <c r="I261" s="348"/>
      <c r="J261" s="349" t="s">
        <v>39</v>
      </c>
      <c r="K261" s="350"/>
      <c r="L261" s="350"/>
      <c r="M261" s="356"/>
    </row>
    <row r="262" spans="1:13" s="152" customFormat="1" ht="15.75" thickBot="1">
      <c r="A262" s="521"/>
      <c r="B262" s="334" t="s">
        <v>935</v>
      </c>
      <c r="C262" s="334" t="s">
        <v>927</v>
      </c>
      <c r="D262" s="335">
        <v>43250</v>
      </c>
      <c r="E262" s="334"/>
      <c r="F262" s="334" t="s">
        <v>122</v>
      </c>
      <c r="G262" s="744" t="s">
        <v>255</v>
      </c>
      <c r="H262" s="745"/>
      <c r="I262" s="746"/>
      <c r="J262" s="336" t="s">
        <v>27</v>
      </c>
      <c r="K262" s="336"/>
      <c r="L262" s="337" t="s">
        <v>28</v>
      </c>
      <c r="M262" s="338">
        <v>1041.75</v>
      </c>
    </row>
    <row r="263" spans="1:13" s="152" customFormat="1" ht="23.25" thickBot="1">
      <c r="A263" s="521"/>
      <c r="B263" s="339" t="s">
        <v>29</v>
      </c>
      <c r="C263" s="339" t="s">
        <v>30</v>
      </c>
      <c r="D263" s="339" t="s">
        <v>31</v>
      </c>
      <c r="E263" s="768" t="s">
        <v>32</v>
      </c>
      <c r="F263" s="768"/>
      <c r="G263" s="752"/>
      <c r="H263" s="753"/>
      <c r="I263" s="754"/>
      <c r="J263" s="340" t="s">
        <v>98</v>
      </c>
      <c r="K263" s="341"/>
      <c r="L263" s="342" t="s">
        <v>28</v>
      </c>
      <c r="M263" s="357">
        <v>261.39999999999998</v>
      </c>
    </row>
    <row r="264" spans="1:13" s="152" customFormat="1" ht="23.25" thickBot="1">
      <c r="A264" s="522"/>
      <c r="B264" s="334" t="s">
        <v>932</v>
      </c>
      <c r="C264" s="334" t="s">
        <v>929</v>
      </c>
      <c r="D264" s="344">
        <v>43252</v>
      </c>
      <c r="E264" s="345" t="s">
        <v>36</v>
      </c>
      <c r="F264" s="346" t="s">
        <v>934</v>
      </c>
      <c r="G264" s="765"/>
      <c r="H264" s="766"/>
      <c r="I264" s="767"/>
      <c r="J264" s="340" t="s">
        <v>136</v>
      </c>
      <c r="K264" s="341"/>
      <c r="L264" s="342" t="s">
        <v>28</v>
      </c>
      <c r="M264" s="357">
        <v>250</v>
      </c>
    </row>
    <row r="265" spans="1:13" s="152" customFormat="1" ht="24" customHeight="1" thickTop="1" thickBot="1">
      <c r="A265" s="518">
        <f>A264+157</f>
        <v>157</v>
      </c>
      <c r="B265" s="347" t="s">
        <v>19</v>
      </c>
      <c r="C265" s="347" t="s">
        <v>20</v>
      </c>
      <c r="D265" s="347" t="s">
        <v>21</v>
      </c>
      <c r="E265" s="743" t="s">
        <v>22</v>
      </c>
      <c r="F265" s="743"/>
      <c r="G265" s="743" t="s">
        <v>12</v>
      </c>
      <c r="H265" s="769"/>
      <c r="I265" s="348"/>
      <c r="J265" s="349" t="s">
        <v>39</v>
      </c>
      <c r="K265" s="350"/>
      <c r="L265" s="350"/>
      <c r="M265" s="356"/>
    </row>
    <row r="266" spans="1:13" s="152" customFormat="1" ht="15.75" thickBot="1">
      <c r="A266" s="521"/>
      <c r="B266" s="334" t="s">
        <v>936</v>
      </c>
      <c r="C266" s="334" t="s">
        <v>927</v>
      </c>
      <c r="D266" s="335">
        <v>43250</v>
      </c>
      <c r="E266" s="334"/>
      <c r="F266" s="334" t="s">
        <v>122</v>
      </c>
      <c r="G266" s="744" t="s">
        <v>255</v>
      </c>
      <c r="H266" s="745"/>
      <c r="I266" s="746"/>
      <c r="J266" s="336" t="s">
        <v>27</v>
      </c>
      <c r="K266" s="336"/>
      <c r="L266" s="337" t="s">
        <v>28</v>
      </c>
      <c r="M266" s="338">
        <v>415.66</v>
      </c>
    </row>
    <row r="267" spans="1:13" s="152" customFormat="1" ht="23.25" thickBot="1">
      <c r="A267" s="521"/>
      <c r="B267" s="339" t="s">
        <v>29</v>
      </c>
      <c r="C267" s="339" t="s">
        <v>30</v>
      </c>
      <c r="D267" s="339" t="s">
        <v>31</v>
      </c>
      <c r="E267" s="768" t="s">
        <v>32</v>
      </c>
      <c r="F267" s="768"/>
      <c r="G267" s="752"/>
      <c r="H267" s="753"/>
      <c r="I267" s="754"/>
      <c r="J267" s="340" t="s">
        <v>98</v>
      </c>
      <c r="K267" s="341"/>
      <c r="L267" s="342" t="s">
        <v>28</v>
      </c>
      <c r="M267" s="357">
        <v>128.4</v>
      </c>
    </row>
    <row r="268" spans="1:13" s="152" customFormat="1" ht="23.25" thickBot="1">
      <c r="A268" s="522"/>
      <c r="B268" s="334" t="s">
        <v>932</v>
      </c>
      <c r="C268" s="334" t="s">
        <v>929</v>
      </c>
      <c r="D268" s="344">
        <v>43252</v>
      </c>
      <c r="E268" s="345" t="s">
        <v>36</v>
      </c>
      <c r="F268" s="346" t="s">
        <v>930</v>
      </c>
      <c r="G268" s="765"/>
      <c r="H268" s="766"/>
      <c r="I268" s="767"/>
      <c r="J268" s="340" t="s">
        <v>136</v>
      </c>
      <c r="K268" s="341"/>
      <c r="L268" s="342" t="s">
        <v>28</v>
      </c>
      <c r="M268" s="357">
        <v>250</v>
      </c>
    </row>
    <row r="269" spans="1:13" s="152" customFormat="1" ht="24" customHeight="1" thickTop="1" thickBot="1">
      <c r="A269" s="518">
        <f>A268+158</f>
        <v>158</v>
      </c>
      <c r="B269" s="347" t="s">
        <v>19</v>
      </c>
      <c r="C269" s="347" t="s">
        <v>20</v>
      </c>
      <c r="D269" s="347" t="s">
        <v>21</v>
      </c>
      <c r="E269" s="743" t="s">
        <v>22</v>
      </c>
      <c r="F269" s="743"/>
      <c r="G269" s="743" t="s">
        <v>12</v>
      </c>
      <c r="H269" s="769"/>
      <c r="I269" s="348"/>
      <c r="J269" s="349" t="s">
        <v>39</v>
      </c>
      <c r="K269" s="350"/>
      <c r="L269" s="350"/>
      <c r="M269" s="356"/>
    </row>
    <row r="270" spans="1:13" s="152" customFormat="1" ht="15.75" thickBot="1">
      <c r="A270" s="521"/>
      <c r="B270" s="334" t="s">
        <v>937</v>
      </c>
      <c r="C270" s="334" t="s">
        <v>927</v>
      </c>
      <c r="D270" s="335">
        <v>43250</v>
      </c>
      <c r="E270" s="334"/>
      <c r="F270" s="334" t="s">
        <v>122</v>
      </c>
      <c r="G270" s="744" t="s">
        <v>255</v>
      </c>
      <c r="H270" s="745"/>
      <c r="I270" s="746"/>
      <c r="J270" s="336" t="s">
        <v>27</v>
      </c>
      <c r="K270" s="336"/>
      <c r="L270" s="337" t="s">
        <v>28</v>
      </c>
      <c r="M270" s="338">
        <v>833.4</v>
      </c>
    </row>
    <row r="271" spans="1:13" s="152" customFormat="1" ht="23.25" thickBot="1">
      <c r="A271" s="521"/>
      <c r="B271" s="339" t="s">
        <v>29</v>
      </c>
      <c r="C271" s="339" t="s">
        <v>30</v>
      </c>
      <c r="D271" s="339" t="s">
        <v>31</v>
      </c>
      <c r="E271" s="768" t="s">
        <v>32</v>
      </c>
      <c r="F271" s="768"/>
      <c r="G271" s="752"/>
      <c r="H271" s="753"/>
      <c r="I271" s="754"/>
      <c r="J271" s="340" t="s">
        <v>98</v>
      </c>
      <c r="K271" s="341"/>
      <c r="L271" s="342" t="s">
        <v>28</v>
      </c>
      <c r="M271" s="357">
        <v>186.6</v>
      </c>
    </row>
    <row r="272" spans="1:13" s="152" customFormat="1" ht="15.75" thickBot="1">
      <c r="A272" s="522"/>
      <c r="B272" s="354" t="s">
        <v>938</v>
      </c>
      <c r="C272" s="334" t="s">
        <v>929</v>
      </c>
      <c r="D272" s="344">
        <v>43252</v>
      </c>
      <c r="E272" s="345" t="s">
        <v>36</v>
      </c>
      <c r="F272" s="346" t="s">
        <v>930</v>
      </c>
      <c r="G272" s="765"/>
      <c r="H272" s="766"/>
      <c r="I272" s="767"/>
      <c r="J272" s="340" t="s">
        <v>136</v>
      </c>
      <c r="K272" s="341"/>
      <c r="L272" s="342" t="s">
        <v>28</v>
      </c>
      <c r="M272" s="358">
        <v>250</v>
      </c>
    </row>
    <row r="273" spans="1:13" s="152" customFormat="1" ht="24" customHeight="1" thickTop="1" thickBot="1">
      <c r="A273" s="518">
        <f>A272+159</f>
        <v>159</v>
      </c>
      <c r="B273" s="347" t="s">
        <v>19</v>
      </c>
      <c r="C273" s="347" t="s">
        <v>20</v>
      </c>
      <c r="D273" s="347" t="s">
        <v>21</v>
      </c>
      <c r="E273" s="743" t="s">
        <v>22</v>
      </c>
      <c r="F273" s="743"/>
      <c r="G273" s="743" t="s">
        <v>12</v>
      </c>
      <c r="H273" s="769"/>
      <c r="I273" s="348"/>
      <c r="J273" s="349" t="s">
        <v>39</v>
      </c>
      <c r="K273" s="350"/>
      <c r="L273" s="350"/>
      <c r="M273" s="356"/>
    </row>
    <row r="274" spans="1:13" s="152" customFormat="1" ht="15.75" thickBot="1">
      <c r="A274" s="521"/>
      <c r="B274" s="334" t="s">
        <v>939</v>
      </c>
      <c r="C274" s="334" t="s">
        <v>927</v>
      </c>
      <c r="D274" s="335">
        <v>43250</v>
      </c>
      <c r="E274" s="334"/>
      <c r="F274" s="334" t="s">
        <v>122</v>
      </c>
      <c r="G274" s="744" t="s">
        <v>255</v>
      </c>
      <c r="H274" s="745"/>
      <c r="I274" s="746"/>
      <c r="J274" s="336" t="s">
        <v>27</v>
      </c>
      <c r="K274" s="336"/>
      <c r="L274" s="337" t="s">
        <v>28</v>
      </c>
      <c r="M274" s="338">
        <v>1041.75</v>
      </c>
    </row>
    <row r="275" spans="1:13" s="152" customFormat="1" ht="23.25" thickBot="1">
      <c r="A275" s="521"/>
      <c r="B275" s="339" t="s">
        <v>29</v>
      </c>
      <c r="C275" s="339" t="s">
        <v>30</v>
      </c>
      <c r="D275" s="339" t="s">
        <v>31</v>
      </c>
      <c r="E275" s="768" t="s">
        <v>32</v>
      </c>
      <c r="F275" s="768"/>
      <c r="G275" s="752"/>
      <c r="H275" s="753"/>
      <c r="I275" s="754"/>
      <c r="J275" s="340" t="s">
        <v>98</v>
      </c>
      <c r="K275" s="341"/>
      <c r="L275" s="342" t="s">
        <v>28</v>
      </c>
      <c r="M275" s="357">
        <v>261.39999999999998</v>
      </c>
    </row>
    <row r="276" spans="1:13" s="152" customFormat="1" ht="15.75" thickBot="1">
      <c r="A276" s="522"/>
      <c r="B276" s="334" t="s">
        <v>940</v>
      </c>
      <c r="C276" s="334" t="s">
        <v>929</v>
      </c>
      <c r="D276" s="344">
        <v>43252</v>
      </c>
      <c r="E276" s="345" t="s">
        <v>36</v>
      </c>
      <c r="F276" s="346" t="s">
        <v>934</v>
      </c>
      <c r="G276" s="765"/>
      <c r="H276" s="766"/>
      <c r="I276" s="767"/>
      <c r="J276" s="340" t="s">
        <v>136</v>
      </c>
      <c r="K276" s="341"/>
      <c r="L276" s="342" t="s">
        <v>28</v>
      </c>
      <c r="M276" s="357">
        <v>250</v>
      </c>
    </row>
    <row r="277" spans="1:13" s="152" customFormat="1" ht="24" customHeight="1" thickTop="1" thickBot="1">
      <c r="A277" s="518">
        <f>A276+160</f>
        <v>160</v>
      </c>
      <c r="B277" s="150" t="s">
        <v>19</v>
      </c>
      <c r="C277" s="150" t="s">
        <v>20</v>
      </c>
      <c r="D277" s="150" t="s">
        <v>21</v>
      </c>
      <c r="E277" s="523" t="s">
        <v>22</v>
      </c>
      <c r="F277" s="523"/>
      <c r="G277" s="523" t="s">
        <v>12</v>
      </c>
      <c r="H277" s="528"/>
      <c r="I277" s="164"/>
      <c r="J277" s="126" t="s">
        <v>39</v>
      </c>
      <c r="K277" s="127"/>
      <c r="L277" s="127"/>
      <c r="M277" s="22"/>
    </row>
    <row r="278" spans="1:13" s="152" customFormat="1" ht="34.5" thickBot="1">
      <c r="A278" s="521"/>
      <c r="B278" s="128" t="s">
        <v>941</v>
      </c>
      <c r="C278" s="128" t="s">
        <v>942</v>
      </c>
      <c r="D278" s="129">
        <v>43226</v>
      </c>
      <c r="E278" s="128"/>
      <c r="F278" s="128" t="s">
        <v>943</v>
      </c>
      <c r="G278" s="524" t="s">
        <v>944</v>
      </c>
      <c r="H278" s="525"/>
      <c r="I278" s="526"/>
      <c r="J278" s="130" t="s">
        <v>27</v>
      </c>
      <c r="K278" s="130"/>
      <c r="L278" s="130" t="s">
        <v>28</v>
      </c>
      <c r="M278" s="23">
        <v>748.6</v>
      </c>
    </row>
    <row r="279" spans="1:13" s="152" customFormat="1" ht="23.25" thickBot="1">
      <c r="A279" s="521"/>
      <c r="B279" s="153" t="s">
        <v>29</v>
      </c>
      <c r="C279" s="153" t="s">
        <v>30</v>
      </c>
      <c r="D279" s="153" t="s">
        <v>31</v>
      </c>
      <c r="E279" s="527" t="s">
        <v>32</v>
      </c>
      <c r="F279" s="527"/>
      <c r="G279" s="529"/>
      <c r="H279" s="530"/>
      <c r="I279" s="531"/>
      <c r="J279" s="131" t="s">
        <v>98</v>
      </c>
      <c r="K279" s="132"/>
      <c r="L279" s="132" t="s">
        <v>28</v>
      </c>
      <c r="M279" s="24">
        <v>305.54000000000002</v>
      </c>
    </row>
    <row r="280" spans="1:13" s="152" customFormat="1" ht="15.75" thickBot="1">
      <c r="A280" s="521"/>
      <c r="B280" s="133"/>
      <c r="C280" s="133"/>
      <c r="D280" s="134"/>
      <c r="E280" s="135" t="s">
        <v>36</v>
      </c>
      <c r="F280" s="25"/>
      <c r="G280" s="539"/>
      <c r="H280" s="540"/>
      <c r="I280" s="541"/>
      <c r="J280" s="131" t="s">
        <v>136</v>
      </c>
      <c r="K280" s="132"/>
      <c r="L280" s="132"/>
      <c r="M280" s="24"/>
    </row>
    <row r="281" spans="1:13" s="152" customFormat="1" ht="35.25" thickTop="1" thickBot="1">
      <c r="A281" s="522"/>
      <c r="B281" s="133" t="s">
        <v>945</v>
      </c>
      <c r="C281" s="133" t="s">
        <v>942</v>
      </c>
      <c r="D281" s="144">
        <v>43230</v>
      </c>
      <c r="E281" s="135" t="s">
        <v>36</v>
      </c>
      <c r="F281" s="136" t="s">
        <v>946</v>
      </c>
      <c r="G281" s="539"/>
      <c r="H281" s="540"/>
      <c r="I281" s="541"/>
      <c r="J281" s="131" t="s">
        <v>947</v>
      </c>
      <c r="K281" s="132"/>
      <c r="L281" s="132" t="s">
        <v>28</v>
      </c>
      <c r="M281" s="24">
        <v>324</v>
      </c>
    </row>
    <row r="282" spans="1:13" s="152" customFormat="1" ht="24" customHeight="1" thickTop="1" thickBot="1">
      <c r="A282" s="518">
        <f>A281+161</f>
        <v>161</v>
      </c>
      <c r="B282" s="150" t="s">
        <v>19</v>
      </c>
      <c r="C282" s="150" t="s">
        <v>20</v>
      </c>
      <c r="D282" s="150" t="s">
        <v>21</v>
      </c>
      <c r="E282" s="523" t="s">
        <v>22</v>
      </c>
      <c r="F282" s="523"/>
      <c r="G282" s="523" t="s">
        <v>12</v>
      </c>
      <c r="H282" s="528"/>
      <c r="I282" s="164"/>
      <c r="J282" s="126" t="s">
        <v>39</v>
      </c>
      <c r="K282" s="127"/>
      <c r="L282" s="127"/>
      <c r="M282" s="22"/>
    </row>
    <row r="283" spans="1:13" s="152" customFormat="1" ht="34.5" thickBot="1">
      <c r="A283" s="521"/>
      <c r="B283" s="334" t="s">
        <v>948</v>
      </c>
      <c r="C283" s="334" t="s">
        <v>949</v>
      </c>
      <c r="D283" s="335">
        <v>43370</v>
      </c>
      <c r="E283" s="334"/>
      <c r="F283" s="334" t="s">
        <v>950</v>
      </c>
      <c r="G283" s="744" t="s">
        <v>951</v>
      </c>
      <c r="H283" s="745"/>
      <c r="I283" s="746"/>
      <c r="J283" s="336" t="s">
        <v>952</v>
      </c>
      <c r="K283" s="336"/>
      <c r="L283" s="336" t="s">
        <v>953</v>
      </c>
      <c r="M283" s="359">
        <v>349</v>
      </c>
    </row>
    <row r="284" spans="1:13" s="152" customFormat="1" ht="23.25" thickBot="1">
      <c r="A284" s="521"/>
      <c r="B284" s="339" t="s">
        <v>29</v>
      </c>
      <c r="C284" s="339" t="s">
        <v>30</v>
      </c>
      <c r="D284" s="339" t="s">
        <v>31</v>
      </c>
      <c r="E284" s="747" t="s">
        <v>32</v>
      </c>
      <c r="F284" s="748"/>
      <c r="G284" s="752"/>
      <c r="H284" s="753"/>
      <c r="I284" s="754"/>
      <c r="J284" s="340" t="s">
        <v>954</v>
      </c>
      <c r="K284" s="341"/>
      <c r="L284" s="341" t="s">
        <v>955</v>
      </c>
      <c r="M284" s="360">
        <v>150</v>
      </c>
    </row>
    <row r="285" spans="1:13" s="152" customFormat="1" ht="34.5" thickBot="1">
      <c r="A285" s="522"/>
      <c r="B285" s="334" t="s">
        <v>956</v>
      </c>
      <c r="C285" s="334" t="s">
        <v>957</v>
      </c>
      <c r="D285" s="344">
        <v>43363</v>
      </c>
      <c r="E285" s="345" t="s">
        <v>36</v>
      </c>
      <c r="F285" s="346" t="s">
        <v>958</v>
      </c>
      <c r="G285" s="755"/>
      <c r="H285" s="756"/>
      <c r="I285" s="757"/>
      <c r="J285" s="340"/>
      <c r="K285" s="341"/>
      <c r="L285" s="341"/>
      <c r="M285" s="343"/>
    </row>
    <row r="286" spans="1:13" s="152" customFormat="1" ht="24" customHeight="1" thickTop="1" thickBot="1">
      <c r="A286" s="518">
        <f>A285+162</f>
        <v>162</v>
      </c>
      <c r="B286" s="150" t="s">
        <v>19</v>
      </c>
      <c r="C286" s="150" t="s">
        <v>20</v>
      </c>
      <c r="D286" s="150" t="s">
        <v>21</v>
      </c>
      <c r="E286" s="523" t="s">
        <v>22</v>
      </c>
      <c r="F286" s="523"/>
      <c r="G286" s="523" t="s">
        <v>12</v>
      </c>
      <c r="H286" s="528"/>
      <c r="I286" s="164"/>
      <c r="J286" s="126" t="s">
        <v>39</v>
      </c>
      <c r="K286" s="127"/>
      <c r="L286" s="127"/>
      <c r="M286" s="22"/>
    </row>
    <row r="287" spans="1:13" s="152" customFormat="1" ht="45.75" thickBot="1">
      <c r="A287" s="521"/>
      <c r="B287" s="334" t="s">
        <v>959</v>
      </c>
      <c r="C287" s="334" t="s">
        <v>960</v>
      </c>
      <c r="D287" s="335">
        <v>43250</v>
      </c>
      <c r="E287" s="334"/>
      <c r="F287" s="334" t="s">
        <v>122</v>
      </c>
      <c r="G287" s="744" t="s">
        <v>961</v>
      </c>
      <c r="H287" s="745"/>
      <c r="I287" s="746"/>
      <c r="J287" s="336" t="s">
        <v>557</v>
      </c>
      <c r="K287" s="336"/>
      <c r="L287" s="361" t="s">
        <v>28</v>
      </c>
      <c r="M287" s="362">
        <v>250</v>
      </c>
    </row>
    <row r="288" spans="1:13" s="152" customFormat="1" ht="23.25" thickBot="1">
      <c r="A288" s="521"/>
      <c r="B288" s="339" t="s">
        <v>29</v>
      </c>
      <c r="C288" s="339" t="s">
        <v>30</v>
      </c>
      <c r="D288" s="339" t="s">
        <v>31</v>
      </c>
      <c r="E288" s="747" t="s">
        <v>32</v>
      </c>
      <c r="F288" s="748"/>
      <c r="G288" s="752"/>
      <c r="H288" s="753"/>
      <c r="I288" s="754"/>
      <c r="J288" s="363" t="s">
        <v>33</v>
      </c>
      <c r="K288" s="341"/>
      <c r="L288" s="342" t="s">
        <v>28</v>
      </c>
      <c r="M288" s="364">
        <v>172.96</v>
      </c>
    </row>
    <row r="289" spans="1:13" s="152" customFormat="1" ht="34.5" thickBot="1">
      <c r="A289" s="522"/>
      <c r="B289" s="334" t="s">
        <v>962</v>
      </c>
      <c r="C289" s="334" t="s">
        <v>963</v>
      </c>
      <c r="D289" s="344">
        <v>43252</v>
      </c>
      <c r="E289" s="345" t="s">
        <v>36</v>
      </c>
      <c r="F289" s="346" t="s">
        <v>964</v>
      </c>
      <c r="G289" s="755"/>
      <c r="H289" s="756"/>
      <c r="I289" s="757"/>
      <c r="J289" s="340" t="s">
        <v>41</v>
      </c>
      <c r="K289" s="341"/>
      <c r="L289" s="341"/>
      <c r="M289" s="343"/>
    </row>
    <row r="290" spans="1:13" s="152" customFormat="1" ht="24" customHeight="1" thickTop="1" thickBot="1">
      <c r="A290" s="518">
        <f>A289+163</f>
        <v>163</v>
      </c>
      <c r="B290" s="347" t="s">
        <v>19</v>
      </c>
      <c r="C290" s="347" t="s">
        <v>20</v>
      </c>
      <c r="D290" s="347" t="s">
        <v>21</v>
      </c>
      <c r="E290" s="769" t="s">
        <v>22</v>
      </c>
      <c r="F290" s="770"/>
      <c r="G290" s="769" t="s">
        <v>12</v>
      </c>
      <c r="H290" s="771"/>
      <c r="I290" s="348"/>
      <c r="J290" s="349" t="s">
        <v>39</v>
      </c>
      <c r="K290" s="350"/>
      <c r="L290" s="350"/>
      <c r="M290" s="351"/>
    </row>
    <row r="291" spans="1:13" s="152" customFormat="1" ht="45.75" thickBot="1">
      <c r="A291" s="521"/>
      <c r="B291" s="334" t="s">
        <v>965</v>
      </c>
      <c r="C291" s="334" t="s">
        <v>960</v>
      </c>
      <c r="D291" s="335">
        <v>43250</v>
      </c>
      <c r="E291" s="334"/>
      <c r="F291" s="334" t="s">
        <v>122</v>
      </c>
      <c r="G291" s="744" t="s">
        <v>961</v>
      </c>
      <c r="H291" s="745"/>
      <c r="I291" s="746"/>
      <c r="J291" s="336" t="s">
        <v>557</v>
      </c>
      <c r="K291" s="336"/>
      <c r="L291" s="361" t="s">
        <v>28</v>
      </c>
      <c r="M291" s="362">
        <v>250</v>
      </c>
    </row>
    <row r="292" spans="1:13" s="152" customFormat="1" ht="23.25" thickBot="1">
      <c r="A292" s="521"/>
      <c r="B292" s="339" t="s">
        <v>29</v>
      </c>
      <c r="C292" s="339" t="s">
        <v>30</v>
      </c>
      <c r="D292" s="339" t="s">
        <v>31</v>
      </c>
      <c r="E292" s="747" t="s">
        <v>32</v>
      </c>
      <c r="F292" s="748"/>
      <c r="G292" s="752"/>
      <c r="H292" s="753"/>
      <c r="I292" s="754"/>
      <c r="J292" s="340" t="s">
        <v>40</v>
      </c>
      <c r="K292" s="341"/>
      <c r="L292" s="341"/>
      <c r="M292" s="353"/>
    </row>
    <row r="293" spans="1:13" s="152" customFormat="1" ht="34.5" thickBot="1">
      <c r="A293" s="522"/>
      <c r="B293" s="354" t="s">
        <v>966</v>
      </c>
      <c r="C293" s="334" t="s">
        <v>963</v>
      </c>
      <c r="D293" s="344">
        <v>43252</v>
      </c>
      <c r="E293" s="345" t="s">
        <v>36</v>
      </c>
      <c r="F293" s="346"/>
      <c r="G293" s="765"/>
      <c r="H293" s="766"/>
      <c r="I293" s="767"/>
      <c r="J293" s="365" t="s">
        <v>41</v>
      </c>
      <c r="K293" s="366"/>
      <c r="L293" s="366"/>
      <c r="M293" s="355"/>
    </row>
    <row r="294" spans="1:13" s="152" customFormat="1" ht="24" customHeight="1" thickTop="1" thickBot="1">
      <c r="A294" s="518">
        <f>A293+164</f>
        <v>164</v>
      </c>
      <c r="B294" s="347" t="s">
        <v>19</v>
      </c>
      <c r="C294" s="347" t="s">
        <v>20</v>
      </c>
      <c r="D294" s="347" t="s">
        <v>21</v>
      </c>
      <c r="E294" s="743" t="s">
        <v>22</v>
      </c>
      <c r="F294" s="743"/>
      <c r="G294" s="743" t="s">
        <v>12</v>
      </c>
      <c r="H294" s="769"/>
      <c r="I294" s="348"/>
      <c r="J294" s="349" t="s">
        <v>39</v>
      </c>
      <c r="K294" s="350"/>
      <c r="L294" s="350"/>
      <c r="M294" s="356"/>
    </row>
    <row r="295" spans="1:13" s="152" customFormat="1" ht="45.75" thickBot="1">
      <c r="A295" s="521"/>
      <c r="B295" s="334" t="s">
        <v>967</v>
      </c>
      <c r="C295" s="334" t="s">
        <v>960</v>
      </c>
      <c r="D295" s="335">
        <v>43250</v>
      </c>
      <c r="E295" s="334"/>
      <c r="F295" s="334" t="s">
        <v>122</v>
      </c>
      <c r="G295" s="744" t="s">
        <v>961</v>
      </c>
      <c r="H295" s="745"/>
      <c r="I295" s="746"/>
      <c r="J295" s="336" t="s">
        <v>557</v>
      </c>
      <c r="K295" s="336"/>
      <c r="L295" s="337" t="s">
        <v>28</v>
      </c>
      <c r="M295" s="367">
        <v>250</v>
      </c>
    </row>
    <row r="296" spans="1:13" s="152" customFormat="1" ht="23.25" thickBot="1">
      <c r="A296" s="521"/>
      <c r="B296" s="339" t="s">
        <v>29</v>
      </c>
      <c r="C296" s="339" t="s">
        <v>30</v>
      </c>
      <c r="D296" s="339" t="s">
        <v>31</v>
      </c>
      <c r="E296" s="768" t="s">
        <v>32</v>
      </c>
      <c r="F296" s="768"/>
      <c r="G296" s="752"/>
      <c r="H296" s="753"/>
      <c r="I296" s="754"/>
      <c r="J296" s="340" t="s">
        <v>882</v>
      </c>
      <c r="K296" s="341"/>
      <c r="L296" s="342" t="s">
        <v>28</v>
      </c>
      <c r="M296" s="368">
        <v>250</v>
      </c>
    </row>
    <row r="297" spans="1:13" s="152" customFormat="1" ht="34.5" thickBot="1">
      <c r="A297" s="522"/>
      <c r="B297" s="334" t="s">
        <v>962</v>
      </c>
      <c r="C297" s="334" t="s">
        <v>963</v>
      </c>
      <c r="D297" s="344">
        <v>43252</v>
      </c>
      <c r="E297" s="345" t="s">
        <v>36</v>
      </c>
      <c r="F297" s="346" t="s">
        <v>968</v>
      </c>
      <c r="G297" s="765"/>
      <c r="H297" s="766"/>
      <c r="I297" s="767"/>
      <c r="J297" s="340" t="s">
        <v>108</v>
      </c>
      <c r="K297" s="341"/>
      <c r="L297" s="342" t="s">
        <v>28</v>
      </c>
      <c r="M297" s="368">
        <v>788.52</v>
      </c>
    </row>
    <row r="298" spans="1:13" s="152" customFormat="1" ht="24" customHeight="1" thickTop="1" thickBot="1">
      <c r="A298" s="518">
        <f>A297+165</f>
        <v>165</v>
      </c>
      <c r="B298" s="347" t="s">
        <v>19</v>
      </c>
      <c r="C298" s="347" t="s">
        <v>20</v>
      </c>
      <c r="D298" s="347" t="s">
        <v>21</v>
      </c>
      <c r="E298" s="743" t="s">
        <v>22</v>
      </c>
      <c r="F298" s="743"/>
      <c r="G298" s="743" t="s">
        <v>12</v>
      </c>
      <c r="H298" s="769"/>
      <c r="I298" s="348"/>
      <c r="J298" s="349" t="s">
        <v>39</v>
      </c>
      <c r="K298" s="350"/>
      <c r="L298" s="350"/>
      <c r="M298" s="356"/>
    </row>
    <row r="299" spans="1:13" s="152" customFormat="1" ht="45.75" thickBot="1">
      <c r="A299" s="521"/>
      <c r="B299" s="334" t="s">
        <v>969</v>
      </c>
      <c r="C299" s="334" t="s">
        <v>960</v>
      </c>
      <c r="D299" s="335">
        <v>43250</v>
      </c>
      <c r="E299" s="334"/>
      <c r="F299" s="334" t="s">
        <v>122</v>
      </c>
      <c r="G299" s="744" t="s">
        <v>961</v>
      </c>
      <c r="H299" s="745"/>
      <c r="I299" s="746"/>
      <c r="J299" s="336" t="s">
        <v>557</v>
      </c>
      <c r="K299" s="336"/>
      <c r="L299" s="337" t="s">
        <v>28</v>
      </c>
      <c r="M299" s="367">
        <v>250</v>
      </c>
    </row>
    <row r="300" spans="1:13" s="152" customFormat="1" ht="23.25" thickBot="1">
      <c r="A300" s="521"/>
      <c r="B300" s="339" t="s">
        <v>29</v>
      </c>
      <c r="C300" s="339" t="s">
        <v>30</v>
      </c>
      <c r="D300" s="339" t="s">
        <v>31</v>
      </c>
      <c r="E300" s="768" t="s">
        <v>32</v>
      </c>
      <c r="F300" s="768"/>
      <c r="G300" s="752"/>
      <c r="H300" s="753"/>
      <c r="I300" s="754"/>
      <c r="J300" s="363" t="s">
        <v>33</v>
      </c>
      <c r="K300" s="341"/>
      <c r="L300" s="342" t="s">
        <v>28</v>
      </c>
      <c r="M300" s="368">
        <v>211.4</v>
      </c>
    </row>
    <row r="301" spans="1:13" s="152" customFormat="1" ht="34.5" thickBot="1">
      <c r="A301" s="522"/>
      <c r="B301" s="334" t="s">
        <v>962</v>
      </c>
      <c r="C301" s="334" t="s">
        <v>963</v>
      </c>
      <c r="D301" s="344">
        <v>43252</v>
      </c>
      <c r="E301" s="345" t="s">
        <v>36</v>
      </c>
      <c r="F301" s="369"/>
      <c r="G301" s="765"/>
      <c r="H301" s="766"/>
      <c r="I301" s="767"/>
      <c r="J301" s="340" t="s">
        <v>41</v>
      </c>
      <c r="K301" s="341"/>
      <c r="L301" s="341"/>
      <c r="M301" s="357"/>
    </row>
    <row r="302" spans="1:13" s="152" customFormat="1" ht="24" customHeight="1" thickTop="1" thickBot="1">
      <c r="A302" s="518">
        <f>A301+166</f>
        <v>166</v>
      </c>
      <c r="B302" s="347" t="s">
        <v>19</v>
      </c>
      <c r="C302" s="347" t="s">
        <v>20</v>
      </c>
      <c r="D302" s="347" t="s">
        <v>21</v>
      </c>
      <c r="E302" s="743" t="s">
        <v>22</v>
      </c>
      <c r="F302" s="743"/>
      <c r="G302" s="743" t="s">
        <v>12</v>
      </c>
      <c r="H302" s="769"/>
      <c r="I302" s="348"/>
      <c r="J302" s="349" t="s">
        <v>39</v>
      </c>
      <c r="K302" s="350"/>
      <c r="L302" s="350"/>
      <c r="M302" s="356"/>
    </row>
    <row r="303" spans="1:13" s="152" customFormat="1" ht="45.75" thickBot="1">
      <c r="A303" s="521"/>
      <c r="B303" s="334" t="s">
        <v>970</v>
      </c>
      <c r="C303" s="334" t="s">
        <v>960</v>
      </c>
      <c r="D303" s="335">
        <v>43250</v>
      </c>
      <c r="E303" s="334"/>
      <c r="F303" s="334" t="s">
        <v>122</v>
      </c>
      <c r="G303" s="744" t="s">
        <v>961</v>
      </c>
      <c r="H303" s="745"/>
      <c r="I303" s="746"/>
      <c r="J303" s="336" t="s">
        <v>557</v>
      </c>
      <c r="K303" s="336"/>
      <c r="L303" s="337" t="s">
        <v>28</v>
      </c>
      <c r="M303" s="370">
        <v>250</v>
      </c>
    </row>
    <row r="304" spans="1:13" s="152" customFormat="1" ht="23.25" thickBot="1">
      <c r="A304" s="521"/>
      <c r="B304" s="339" t="s">
        <v>29</v>
      </c>
      <c r="C304" s="339" t="s">
        <v>30</v>
      </c>
      <c r="D304" s="339" t="s">
        <v>31</v>
      </c>
      <c r="E304" s="768" t="s">
        <v>32</v>
      </c>
      <c r="F304" s="768"/>
      <c r="G304" s="752"/>
      <c r="H304" s="753"/>
      <c r="I304" s="754"/>
      <c r="J304" s="363" t="s">
        <v>882</v>
      </c>
      <c r="K304" s="341"/>
      <c r="L304" s="342" t="s">
        <v>28</v>
      </c>
      <c r="M304" s="371">
        <v>250</v>
      </c>
    </row>
    <row r="305" spans="1:13" s="152" customFormat="1" ht="34.5" thickBot="1">
      <c r="A305" s="522"/>
      <c r="B305" s="334" t="s">
        <v>962</v>
      </c>
      <c r="C305" s="334" t="s">
        <v>963</v>
      </c>
      <c r="D305" s="344">
        <v>43252</v>
      </c>
      <c r="E305" s="345" t="s">
        <v>36</v>
      </c>
      <c r="F305" s="346" t="s">
        <v>968</v>
      </c>
      <c r="G305" s="765"/>
      <c r="H305" s="766"/>
      <c r="I305" s="767"/>
      <c r="J305" s="340" t="s">
        <v>108</v>
      </c>
      <c r="K305" s="366"/>
      <c r="L305" s="372" t="s">
        <v>28</v>
      </c>
      <c r="M305" s="373">
        <v>1041.75</v>
      </c>
    </row>
    <row r="306" spans="1:13" s="152" customFormat="1" ht="24" customHeight="1" thickTop="1" thickBot="1">
      <c r="A306" s="518">
        <f>A305+167</f>
        <v>167</v>
      </c>
      <c r="B306" s="347" t="s">
        <v>19</v>
      </c>
      <c r="C306" s="347" t="s">
        <v>20</v>
      </c>
      <c r="D306" s="347" t="s">
        <v>21</v>
      </c>
      <c r="E306" s="743" t="s">
        <v>22</v>
      </c>
      <c r="F306" s="743"/>
      <c r="G306" s="743" t="s">
        <v>12</v>
      </c>
      <c r="H306" s="769"/>
      <c r="I306" s="348"/>
      <c r="J306" s="349" t="s">
        <v>39</v>
      </c>
      <c r="K306" s="350"/>
      <c r="L306" s="350"/>
      <c r="M306" s="356"/>
    </row>
    <row r="307" spans="1:13" s="152" customFormat="1" ht="45.75" thickBot="1">
      <c r="A307" s="521"/>
      <c r="B307" s="334" t="s">
        <v>971</v>
      </c>
      <c r="C307" s="334" t="s">
        <v>960</v>
      </c>
      <c r="D307" s="335">
        <v>43250</v>
      </c>
      <c r="E307" s="334"/>
      <c r="F307" s="334" t="s">
        <v>122</v>
      </c>
      <c r="G307" s="744" t="s">
        <v>961</v>
      </c>
      <c r="H307" s="745"/>
      <c r="I307" s="746"/>
      <c r="J307" s="336" t="s">
        <v>33</v>
      </c>
      <c r="K307" s="336"/>
      <c r="L307" s="337" t="s">
        <v>28</v>
      </c>
      <c r="M307" s="367">
        <v>203.4</v>
      </c>
    </row>
    <row r="308" spans="1:13" s="152" customFormat="1" ht="23.25" thickBot="1">
      <c r="A308" s="521"/>
      <c r="B308" s="339" t="s">
        <v>29</v>
      </c>
      <c r="C308" s="339" t="s">
        <v>30</v>
      </c>
      <c r="D308" s="339" t="s">
        <v>31</v>
      </c>
      <c r="E308" s="768" t="s">
        <v>32</v>
      </c>
      <c r="F308" s="768"/>
      <c r="G308" s="752"/>
      <c r="H308" s="753"/>
      <c r="I308" s="754"/>
      <c r="J308" s="363" t="s">
        <v>108</v>
      </c>
      <c r="K308" s="341"/>
      <c r="L308" s="342" t="s">
        <v>28</v>
      </c>
      <c r="M308" s="368">
        <v>833.4</v>
      </c>
    </row>
    <row r="309" spans="1:13" s="152" customFormat="1" ht="34.5" thickBot="1">
      <c r="A309" s="522"/>
      <c r="B309" s="334" t="s">
        <v>962</v>
      </c>
      <c r="C309" s="334" t="s">
        <v>963</v>
      </c>
      <c r="D309" s="344">
        <v>43252</v>
      </c>
      <c r="E309" s="345" t="s">
        <v>36</v>
      </c>
      <c r="F309" s="346" t="s">
        <v>972</v>
      </c>
      <c r="G309" s="765"/>
      <c r="H309" s="766"/>
      <c r="I309" s="767"/>
      <c r="J309" s="340"/>
      <c r="K309" s="341"/>
      <c r="L309" s="341"/>
      <c r="M309" s="374"/>
    </row>
    <row r="310" spans="1:13" s="152" customFormat="1" ht="24" customHeight="1" thickTop="1" thickBot="1">
      <c r="A310" s="518">
        <f>A309+168</f>
        <v>168</v>
      </c>
      <c r="B310" s="347" t="s">
        <v>19</v>
      </c>
      <c r="C310" s="347" t="s">
        <v>20</v>
      </c>
      <c r="D310" s="347" t="s">
        <v>21</v>
      </c>
      <c r="E310" s="743" t="s">
        <v>22</v>
      </c>
      <c r="F310" s="743"/>
      <c r="G310" s="743" t="s">
        <v>12</v>
      </c>
      <c r="H310" s="769"/>
      <c r="I310" s="348"/>
      <c r="J310" s="349" t="s">
        <v>39</v>
      </c>
      <c r="K310" s="350"/>
      <c r="L310" s="350"/>
      <c r="M310" s="356"/>
    </row>
    <row r="311" spans="1:13" s="152" customFormat="1" ht="45.75" thickBot="1">
      <c r="A311" s="521"/>
      <c r="B311" s="334" t="s">
        <v>973</v>
      </c>
      <c r="C311" s="334" t="s">
        <v>960</v>
      </c>
      <c r="D311" s="335">
        <v>43250</v>
      </c>
      <c r="E311" s="334"/>
      <c r="F311" s="334" t="s">
        <v>122</v>
      </c>
      <c r="G311" s="744" t="s">
        <v>961</v>
      </c>
      <c r="H311" s="745"/>
      <c r="I311" s="746"/>
      <c r="J311" s="336" t="s">
        <v>557</v>
      </c>
      <c r="K311" s="336"/>
      <c r="L311" s="337" t="s">
        <v>28</v>
      </c>
      <c r="M311" s="370">
        <v>250</v>
      </c>
    </row>
    <row r="312" spans="1:13" s="152" customFormat="1" ht="23.25" thickBot="1">
      <c r="A312" s="521"/>
      <c r="B312" s="339" t="s">
        <v>29</v>
      </c>
      <c r="C312" s="339" t="s">
        <v>30</v>
      </c>
      <c r="D312" s="339" t="s">
        <v>31</v>
      </c>
      <c r="E312" s="768" t="s">
        <v>32</v>
      </c>
      <c r="F312" s="768"/>
      <c r="G312" s="752"/>
      <c r="H312" s="753"/>
      <c r="I312" s="754"/>
      <c r="J312" s="363" t="s">
        <v>33</v>
      </c>
      <c r="K312" s="341"/>
      <c r="L312" s="342" t="s">
        <v>28</v>
      </c>
      <c r="M312" s="371">
        <v>269.97000000000003</v>
      </c>
    </row>
    <row r="313" spans="1:13" s="152" customFormat="1" ht="34.5" thickBot="1">
      <c r="A313" s="522"/>
      <c r="B313" s="334" t="s">
        <v>962</v>
      </c>
      <c r="C313" s="334" t="s">
        <v>963</v>
      </c>
      <c r="D313" s="344">
        <v>43252</v>
      </c>
      <c r="E313" s="345" t="s">
        <v>36</v>
      </c>
      <c r="F313" s="346" t="s">
        <v>968</v>
      </c>
      <c r="G313" s="765"/>
      <c r="H313" s="766"/>
      <c r="I313" s="767"/>
      <c r="J313" s="340" t="s">
        <v>108</v>
      </c>
      <c r="K313" s="341"/>
      <c r="L313" s="342" t="s">
        <v>28</v>
      </c>
      <c r="M313" s="371">
        <v>1041.75</v>
      </c>
    </row>
    <row r="314" spans="1:13" s="152" customFormat="1" ht="24" customHeight="1" thickTop="1" thickBot="1">
      <c r="A314" s="518">
        <f>A313+169</f>
        <v>169</v>
      </c>
      <c r="B314" s="347" t="s">
        <v>19</v>
      </c>
      <c r="C314" s="347" t="s">
        <v>20</v>
      </c>
      <c r="D314" s="347" t="s">
        <v>21</v>
      </c>
      <c r="E314" s="743" t="s">
        <v>22</v>
      </c>
      <c r="F314" s="743"/>
      <c r="G314" s="743" t="s">
        <v>12</v>
      </c>
      <c r="H314" s="769"/>
      <c r="I314" s="348"/>
      <c r="J314" s="349" t="s">
        <v>39</v>
      </c>
      <c r="K314" s="350"/>
      <c r="L314" s="350"/>
      <c r="M314" s="356"/>
    </row>
    <row r="315" spans="1:13" s="152" customFormat="1" ht="45.75" thickBot="1">
      <c r="A315" s="521"/>
      <c r="B315" s="334" t="s">
        <v>974</v>
      </c>
      <c r="C315" s="334" t="s">
        <v>960</v>
      </c>
      <c r="D315" s="335">
        <v>43250</v>
      </c>
      <c r="E315" s="334"/>
      <c r="F315" s="334" t="s">
        <v>122</v>
      </c>
      <c r="G315" s="744" t="s">
        <v>961</v>
      </c>
      <c r="H315" s="745"/>
      <c r="I315" s="746"/>
      <c r="J315" s="336" t="s">
        <v>557</v>
      </c>
      <c r="K315" s="336"/>
      <c r="L315" s="337" t="s">
        <v>28</v>
      </c>
      <c r="M315" s="370">
        <v>250</v>
      </c>
    </row>
    <row r="316" spans="1:13" s="152" customFormat="1" ht="23.25" thickBot="1">
      <c r="A316" s="521"/>
      <c r="B316" s="339" t="s">
        <v>29</v>
      </c>
      <c r="C316" s="339" t="s">
        <v>30</v>
      </c>
      <c r="D316" s="339" t="s">
        <v>31</v>
      </c>
      <c r="E316" s="768" t="s">
        <v>32</v>
      </c>
      <c r="F316" s="768"/>
      <c r="G316" s="752"/>
      <c r="H316" s="753"/>
      <c r="I316" s="754"/>
      <c r="J316" s="363" t="s">
        <v>33</v>
      </c>
      <c r="K316" s="341"/>
      <c r="L316" s="342" t="s">
        <v>28</v>
      </c>
      <c r="M316" s="371">
        <v>223.96</v>
      </c>
    </row>
    <row r="317" spans="1:13" s="152" customFormat="1" ht="34.5" thickBot="1">
      <c r="A317" s="521"/>
      <c r="B317" s="334" t="s">
        <v>962</v>
      </c>
      <c r="C317" s="334" t="s">
        <v>963</v>
      </c>
      <c r="D317" s="344">
        <v>43252</v>
      </c>
      <c r="E317" s="345" t="s">
        <v>36</v>
      </c>
      <c r="F317" s="346" t="s">
        <v>968</v>
      </c>
      <c r="G317" s="765"/>
      <c r="H317" s="766"/>
      <c r="I317" s="767"/>
      <c r="J317" s="340" t="s">
        <v>108</v>
      </c>
      <c r="K317" s="341"/>
      <c r="L317" s="342" t="s">
        <v>28</v>
      </c>
      <c r="M317" s="371">
        <v>625.04999999999995</v>
      </c>
    </row>
    <row r="318" spans="1:13" s="152" customFormat="1" ht="24" thickTop="1" thickBot="1">
      <c r="A318" s="522"/>
      <c r="B318" s="347" t="s">
        <v>19</v>
      </c>
      <c r="C318" s="347" t="s">
        <v>20</v>
      </c>
      <c r="D318" s="347" t="s">
        <v>21</v>
      </c>
      <c r="E318" s="743" t="s">
        <v>22</v>
      </c>
      <c r="F318" s="743"/>
      <c r="G318" s="743" t="s">
        <v>12</v>
      </c>
      <c r="H318" s="769"/>
      <c r="I318" s="348"/>
      <c r="J318" s="349" t="s">
        <v>39</v>
      </c>
      <c r="K318" s="350"/>
      <c r="L318" s="350"/>
      <c r="M318" s="356"/>
    </row>
    <row r="319" spans="1:13" s="152" customFormat="1" ht="24" customHeight="1" thickTop="1" thickBot="1">
      <c r="A319" s="518">
        <f>A318+170</f>
        <v>170</v>
      </c>
      <c r="B319" s="334" t="s">
        <v>975</v>
      </c>
      <c r="C319" s="334" t="s">
        <v>960</v>
      </c>
      <c r="D319" s="335">
        <v>43250</v>
      </c>
      <c r="E319" s="334"/>
      <c r="F319" s="334" t="s">
        <v>122</v>
      </c>
      <c r="G319" s="744" t="s">
        <v>961</v>
      </c>
      <c r="H319" s="745"/>
      <c r="I319" s="746"/>
      <c r="J319" s="336" t="s">
        <v>33</v>
      </c>
      <c r="K319" s="336"/>
      <c r="L319" s="337" t="s">
        <v>28</v>
      </c>
      <c r="M319" s="370">
        <v>273.2</v>
      </c>
    </row>
    <row r="320" spans="1:13" s="152" customFormat="1" ht="23.25" thickBot="1">
      <c r="A320" s="521"/>
      <c r="B320" s="339" t="s">
        <v>29</v>
      </c>
      <c r="C320" s="339" t="s">
        <v>30</v>
      </c>
      <c r="D320" s="339" t="s">
        <v>31</v>
      </c>
      <c r="E320" s="768" t="s">
        <v>32</v>
      </c>
      <c r="F320" s="768"/>
      <c r="G320" s="752"/>
      <c r="H320" s="753"/>
      <c r="I320" s="754"/>
      <c r="J320" s="363" t="s">
        <v>108</v>
      </c>
      <c r="K320" s="341"/>
      <c r="L320" s="342" t="s">
        <v>28</v>
      </c>
      <c r="M320" s="371">
        <v>833.4</v>
      </c>
    </row>
    <row r="321" spans="1:13" s="152" customFormat="1" ht="34.5" thickBot="1">
      <c r="A321" s="521"/>
      <c r="B321" s="334" t="s">
        <v>962</v>
      </c>
      <c r="C321" s="334" t="s">
        <v>963</v>
      </c>
      <c r="D321" s="344">
        <v>43252</v>
      </c>
      <c r="E321" s="345" t="s">
        <v>36</v>
      </c>
      <c r="F321" s="346" t="s">
        <v>968</v>
      </c>
      <c r="G321" s="765"/>
      <c r="H321" s="766"/>
      <c r="I321" s="767"/>
      <c r="J321" s="340"/>
      <c r="K321" s="341"/>
      <c r="L321" s="342"/>
      <c r="M321" s="371"/>
    </row>
    <row r="322" spans="1:13" s="152" customFormat="1" ht="24" thickTop="1" thickBot="1">
      <c r="A322" s="522"/>
      <c r="B322" s="150" t="s">
        <v>19</v>
      </c>
      <c r="C322" s="150" t="s">
        <v>20</v>
      </c>
      <c r="D322" s="150" t="s">
        <v>21</v>
      </c>
      <c r="E322" s="523" t="s">
        <v>22</v>
      </c>
      <c r="F322" s="523"/>
      <c r="G322" s="523" t="s">
        <v>12</v>
      </c>
      <c r="H322" s="528"/>
      <c r="I322" s="164"/>
      <c r="J322" s="126" t="s">
        <v>39</v>
      </c>
      <c r="K322" s="127"/>
      <c r="L322" s="127"/>
      <c r="M322" s="22"/>
    </row>
    <row r="323" spans="1:13" s="152" customFormat="1" ht="24" customHeight="1" thickTop="1" thickBot="1">
      <c r="A323" s="518">
        <f>A322+171</f>
        <v>171</v>
      </c>
      <c r="B323" s="375" t="s">
        <v>976</v>
      </c>
      <c r="C323" s="375" t="s">
        <v>977</v>
      </c>
      <c r="D323" s="376">
        <v>43331</v>
      </c>
      <c r="E323" s="377"/>
      <c r="F323" s="378" t="s">
        <v>978</v>
      </c>
      <c r="G323" s="758" t="s">
        <v>183</v>
      </c>
      <c r="H323" s="759"/>
      <c r="I323" s="760"/>
      <c r="J323" s="379" t="s">
        <v>27</v>
      </c>
      <c r="K323" s="380"/>
      <c r="L323" s="361" t="s">
        <v>28</v>
      </c>
      <c r="M323" s="381">
        <v>300</v>
      </c>
    </row>
    <row r="324" spans="1:13" s="152" customFormat="1" ht="23.25" thickBot="1">
      <c r="A324" s="521"/>
      <c r="B324" s="382" t="s">
        <v>29</v>
      </c>
      <c r="C324" s="382" t="s">
        <v>30</v>
      </c>
      <c r="D324" s="382" t="s">
        <v>31</v>
      </c>
      <c r="E324" s="761" t="s">
        <v>32</v>
      </c>
      <c r="F324" s="761"/>
      <c r="G324" s="762"/>
      <c r="H324" s="763"/>
      <c r="I324" s="764"/>
      <c r="J324" s="363" t="s">
        <v>33</v>
      </c>
      <c r="K324" s="361" t="s">
        <v>28</v>
      </c>
      <c r="L324" s="383"/>
      <c r="M324" s="384">
        <v>325.47000000000003</v>
      </c>
    </row>
    <row r="325" spans="1:13" s="152" customFormat="1" ht="23.25" thickBot="1">
      <c r="A325" s="521"/>
      <c r="B325" s="385" t="s">
        <v>979</v>
      </c>
      <c r="C325" s="385" t="s">
        <v>980</v>
      </c>
      <c r="D325" s="376">
        <v>43333</v>
      </c>
      <c r="E325" s="386" t="s">
        <v>36</v>
      </c>
      <c r="F325" s="378" t="s">
        <v>981</v>
      </c>
      <c r="G325" s="765"/>
      <c r="H325" s="766"/>
      <c r="I325" s="767"/>
      <c r="J325" s="387" t="s">
        <v>162</v>
      </c>
      <c r="K325" s="388" t="s">
        <v>28</v>
      </c>
      <c r="L325" s="388"/>
      <c r="M325" s="389">
        <v>54.17</v>
      </c>
    </row>
    <row r="326" spans="1:13" s="152" customFormat="1" ht="24" thickTop="1" thickBot="1">
      <c r="A326" s="522"/>
      <c r="B326" s="347" t="s">
        <v>19</v>
      </c>
      <c r="C326" s="347" t="s">
        <v>20</v>
      </c>
      <c r="D326" s="347" t="s">
        <v>21</v>
      </c>
      <c r="E326" s="743" t="s">
        <v>22</v>
      </c>
      <c r="F326" s="743"/>
      <c r="G326" s="749" t="s">
        <v>12</v>
      </c>
      <c r="H326" s="750"/>
      <c r="I326" s="751"/>
      <c r="J326" s="349" t="s">
        <v>39</v>
      </c>
      <c r="K326" s="350"/>
      <c r="L326" s="350"/>
      <c r="M326" s="351"/>
    </row>
    <row r="327" spans="1:13" s="152" customFormat="1" ht="24" customHeight="1" thickTop="1" thickBot="1">
      <c r="A327" s="518">
        <f>A326+172</f>
        <v>172</v>
      </c>
      <c r="B327" s="334" t="s">
        <v>976</v>
      </c>
      <c r="C327" s="334" t="s">
        <v>982</v>
      </c>
      <c r="D327" s="335">
        <v>43242</v>
      </c>
      <c r="E327" s="334"/>
      <c r="F327" s="334" t="s">
        <v>983</v>
      </c>
      <c r="G327" s="744" t="s">
        <v>183</v>
      </c>
      <c r="H327" s="745"/>
      <c r="I327" s="746"/>
      <c r="J327" s="336" t="s">
        <v>27</v>
      </c>
      <c r="K327" s="336"/>
      <c r="L327" s="337" t="s">
        <v>28</v>
      </c>
      <c r="M327" s="390">
        <v>484</v>
      </c>
    </row>
    <row r="328" spans="1:13" s="152" customFormat="1" ht="23.25" thickBot="1">
      <c r="A328" s="521"/>
      <c r="B328" s="339" t="s">
        <v>29</v>
      </c>
      <c r="C328" s="339" t="s">
        <v>30</v>
      </c>
      <c r="D328" s="339" t="s">
        <v>31</v>
      </c>
      <c r="E328" s="747" t="s">
        <v>32</v>
      </c>
      <c r="F328" s="748"/>
      <c r="G328" s="752"/>
      <c r="H328" s="753"/>
      <c r="I328" s="754"/>
      <c r="J328" s="340" t="s">
        <v>33</v>
      </c>
      <c r="K328" s="341"/>
      <c r="L328" s="342" t="s">
        <v>28</v>
      </c>
      <c r="M328" s="391">
        <v>412.4</v>
      </c>
    </row>
    <row r="329" spans="1:13" s="152" customFormat="1" ht="23.25" thickBot="1">
      <c r="A329" s="521"/>
      <c r="B329" s="334" t="s">
        <v>979</v>
      </c>
      <c r="C329" s="385" t="s">
        <v>980</v>
      </c>
      <c r="D329" s="344">
        <v>43245</v>
      </c>
      <c r="E329" s="345" t="s">
        <v>36</v>
      </c>
      <c r="F329" s="346" t="s">
        <v>984</v>
      </c>
      <c r="G329" s="755"/>
      <c r="H329" s="756"/>
      <c r="I329" s="757"/>
      <c r="J329" s="340" t="s">
        <v>223</v>
      </c>
      <c r="K329" s="342" t="s">
        <v>28</v>
      </c>
      <c r="L329" s="341"/>
      <c r="M329" s="391">
        <v>167.98</v>
      </c>
    </row>
    <row r="330" spans="1:13" s="152" customFormat="1" ht="16.5" thickTop="1" thickBot="1">
      <c r="A330" s="522"/>
      <c r="B330" s="134"/>
      <c r="C330" s="134"/>
      <c r="D330" s="134"/>
      <c r="E330" s="305" t="s">
        <v>36</v>
      </c>
      <c r="F330" s="140"/>
      <c r="G330" s="539"/>
      <c r="H330" s="540"/>
      <c r="I330" s="541"/>
      <c r="J330" s="141" t="s">
        <v>41</v>
      </c>
      <c r="K330" s="142"/>
      <c r="L330" s="142"/>
      <c r="M330" s="36"/>
    </row>
    <row r="331" spans="1:13" s="152" customFormat="1" ht="24" customHeight="1" thickTop="1" thickBot="1">
      <c r="A331" s="518">
        <f>A330+173</f>
        <v>173</v>
      </c>
      <c r="B331" s="150" t="s">
        <v>19</v>
      </c>
      <c r="C331" s="150" t="s">
        <v>20</v>
      </c>
      <c r="D331" s="150" t="s">
        <v>21</v>
      </c>
      <c r="E331" s="523" t="s">
        <v>22</v>
      </c>
      <c r="F331" s="523"/>
      <c r="G331" s="523" t="s">
        <v>12</v>
      </c>
      <c r="H331" s="528"/>
      <c r="I331" s="164"/>
      <c r="J331" s="126" t="s">
        <v>39</v>
      </c>
      <c r="K331" s="127"/>
      <c r="L331" s="127"/>
      <c r="M331" s="22"/>
    </row>
    <row r="332" spans="1:13" s="152" customFormat="1" ht="23.25" thickBot="1">
      <c r="A332" s="521"/>
      <c r="B332" s="128" t="s">
        <v>985</v>
      </c>
      <c r="C332" s="128" t="s">
        <v>986</v>
      </c>
      <c r="D332" s="129">
        <v>43331</v>
      </c>
      <c r="E332" s="128"/>
      <c r="F332" s="128" t="s">
        <v>978</v>
      </c>
      <c r="G332" s="524" t="s">
        <v>987</v>
      </c>
      <c r="H332" s="525"/>
      <c r="I332" s="526"/>
      <c r="J332" s="130" t="s">
        <v>33</v>
      </c>
      <c r="K332" s="130" t="s">
        <v>28</v>
      </c>
      <c r="L332" s="130"/>
      <c r="M332" s="23">
        <v>449.6</v>
      </c>
    </row>
    <row r="333" spans="1:13" s="152" customFormat="1" ht="23.25" thickBot="1">
      <c r="A333" s="521"/>
      <c r="B333" s="153" t="s">
        <v>29</v>
      </c>
      <c r="C333" s="153" t="s">
        <v>30</v>
      </c>
      <c r="D333" s="153" t="s">
        <v>31</v>
      </c>
      <c r="E333" s="527" t="s">
        <v>32</v>
      </c>
      <c r="F333" s="527"/>
      <c r="G333" s="529"/>
      <c r="H333" s="530"/>
      <c r="I333" s="531"/>
      <c r="J333" s="131" t="s">
        <v>162</v>
      </c>
      <c r="K333" s="132" t="s">
        <v>28</v>
      </c>
      <c r="L333" s="132"/>
      <c r="M333" s="24">
        <v>67.989999999999995</v>
      </c>
    </row>
    <row r="334" spans="1:13" s="152" customFormat="1" ht="23.25" thickBot="1">
      <c r="A334" s="521"/>
      <c r="B334" s="134" t="s">
        <v>988</v>
      </c>
      <c r="C334" s="134" t="s">
        <v>989</v>
      </c>
      <c r="D334" s="144">
        <v>43333</v>
      </c>
      <c r="E334" s="135" t="s">
        <v>36</v>
      </c>
      <c r="F334" s="140" t="s">
        <v>990</v>
      </c>
      <c r="G334" s="539"/>
      <c r="H334" s="540"/>
      <c r="I334" s="541"/>
      <c r="J334" s="141" t="s">
        <v>27</v>
      </c>
      <c r="K334" s="142"/>
      <c r="L334" s="142" t="s">
        <v>28</v>
      </c>
      <c r="M334" s="36">
        <v>300</v>
      </c>
    </row>
    <row r="335" spans="1:13" s="152" customFormat="1" ht="16.5" thickTop="1" thickBot="1">
      <c r="A335" s="522"/>
      <c r="B335" s="134"/>
      <c r="C335" s="134"/>
      <c r="D335" s="134"/>
      <c r="E335" s="135" t="s">
        <v>36</v>
      </c>
      <c r="F335" s="140"/>
      <c r="G335" s="539"/>
      <c r="H335" s="540"/>
      <c r="I335" s="541"/>
      <c r="J335" s="141" t="s">
        <v>191</v>
      </c>
      <c r="K335" s="142" t="s">
        <v>28</v>
      </c>
      <c r="L335" s="142"/>
      <c r="M335" s="36">
        <v>36</v>
      </c>
    </row>
    <row r="336" spans="1:13" s="152" customFormat="1" ht="24" customHeight="1" thickTop="1" thickBot="1">
      <c r="A336" s="518">
        <f>A335+174</f>
        <v>174</v>
      </c>
      <c r="B336" s="150" t="s">
        <v>19</v>
      </c>
      <c r="C336" s="150" t="s">
        <v>20</v>
      </c>
      <c r="D336" s="150" t="s">
        <v>21</v>
      </c>
      <c r="E336" s="523" t="s">
        <v>22</v>
      </c>
      <c r="F336" s="523"/>
      <c r="G336" s="565" t="s">
        <v>12</v>
      </c>
      <c r="H336" s="566"/>
      <c r="I336" s="567"/>
      <c r="J336" s="126" t="s">
        <v>39</v>
      </c>
      <c r="K336" s="127"/>
      <c r="L336" s="127"/>
      <c r="M336" s="137"/>
    </row>
    <row r="337" spans="1:13" s="152" customFormat="1" ht="34.5" thickBot="1">
      <c r="A337" s="521"/>
      <c r="B337" s="128" t="s">
        <v>991</v>
      </c>
      <c r="C337" s="128" t="s">
        <v>992</v>
      </c>
      <c r="D337" s="129">
        <v>43243</v>
      </c>
      <c r="E337" s="128"/>
      <c r="F337" s="128" t="s">
        <v>235</v>
      </c>
      <c r="G337" s="524" t="s">
        <v>183</v>
      </c>
      <c r="H337" s="585"/>
      <c r="I337" s="586"/>
      <c r="J337" s="130" t="s">
        <v>27</v>
      </c>
      <c r="K337" s="130"/>
      <c r="L337" s="130" t="s">
        <v>28</v>
      </c>
      <c r="M337" s="65">
        <v>484</v>
      </c>
    </row>
    <row r="338" spans="1:13" s="152" customFormat="1" ht="23.25" thickBot="1">
      <c r="A338" s="521"/>
      <c r="B338" s="153" t="s">
        <v>29</v>
      </c>
      <c r="C338" s="153" t="s">
        <v>30</v>
      </c>
      <c r="D338" s="153" t="s">
        <v>31</v>
      </c>
      <c r="E338" s="580" t="s">
        <v>32</v>
      </c>
      <c r="F338" s="581"/>
      <c r="G338" s="529"/>
      <c r="H338" s="530"/>
      <c r="I338" s="531"/>
      <c r="J338" s="131" t="s">
        <v>33</v>
      </c>
      <c r="K338" s="132"/>
      <c r="L338" s="132" t="s">
        <v>28</v>
      </c>
      <c r="M338" s="80">
        <v>517</v>
      </c>
    </row>
    <row r="339" spans="1:13" s="152" customFormat="1" ht="45.75" thickBot="1">
      <c r="A339" s="522"/>
      <c r="B339" s="133" t="s">
        <v>993</v>
      </c>
      <c r="C339" s="133" t="s">
        <v>183</v>
      </c>
      <c r="D339" s="144">
        <v>43245</v>
      </c>
      <c r="E339" s="135" t="s">
        <v>36</v>
      </c>
      <c r="F339" s="136" t="s">
        <v>994</v>
      </c>
      <c r="G339" s="582"/>
      <c r="H339" s="583"/>
      <c r="I339" s="584"/>
      <c r="J339" s="131" t="s">
        <v>38</v>
      </c>
      <c r="K339" s="132"/>
      <c r="L339" s="132" t="s">
        <v>28</v>
      </c>
      <c r="M339" s="80">
        <v>200</v>
      </c>
    </row>
    <row r="340" spans="1:13" s="152" customFormat="1" ht="24" customHeight="1" thickTop="1" thickBot="1">
      <c r="A340" s="518">
        <f>A339+175</f>
        <v>175</v>
      </c>
      <c r="B340" s="150" t="s">
        <v>19</v>
      </c>
      <c r="C340" s="150" t="s">
        <v>20</v>
      </c>
      <c r="D340" s="150" t="s">
        <v>21</v>
      </c>
      <c r="E340" s="523" t="s">
        <v>22</v>
      </c>
      <c r="F340" s="523"/>
      <c r="G340" s="565" t="s">
        <v>12</v>
      </c>
      <c r="H340" s="566"/>
      <c r="I340" s="567"/>
      <c r="J340" s="126" t="s">
        <v>39</v>
      </c>
      <c r="K340" s="127"/>
      <c r="L340" s="127"/>
      <c r="M340" s="137"/>
    </row>
    <row r="341" spans="1:13" s="152" customFormat="1" ht="34.5" thickBot="1">
      <c r="A341" s="521"/>
      <c r="B341" s="128" t="s">
        <v>995</v>
      </c>
      <c r="C341" s="128" t="s">
        <v>996</v>
      </c>
      <c r="D341" s="129">
        <v>43290</v>
      </c>
      <c r="E341" s="128"/>
      <c r="F341" s="128" t="s">
        <v>997</v>
      </c>
      <c r="G341" s="524" t="s">
        <v>998</v>
      </c>
      <c r="H341" s="585"/>
      <c r="I341" s="586"/>
      <c r="J341" s="130" t="s">
        <v>999</v>
      </c>
      <c r="K341" s="130"/>
      <c r="L341" s="130" t="s">
        <v>42</v>
      </c>
      <c r="M341" s="23">
        <v>900</v>
      </c>
    </row>
    <row r="342" spans="1:13" s="152" customFormat="1" ht="23.25" thickBot="1">
      <c r="A342" s="521"/>
      <c r="B342" s="153" t="s">
        <v>29</v>
      </c>
      <c r="C342" s="153" t="s">
        <v>30</v>
      </c>
      <c r="D342" s="153" t="s">
        <v>31</v>
      </c>
      <c r="E342" s="580" t="s">
        <v>32</v>
      </c>
      <c r="F342" s="581"/>
      <c r="G342" s="529"/>
      <c r="H342" s="530"/>
      <c r="I342" s="531"/>
      <c r="J342" s="131" t="s">
        <v>40</v>
      </c>
      <c r="K342" s="132"/>
      <c r="L342" s="132"/>
      <c r="M342" s="138"/>
    </row>
    <row r="343" spans="1:13" s="152" customFormat="1" ht="23.25" thickBot="1">
      <c r="A343" s="522"/>
      <c r="B343" s="133" t="s">
        <v>1000</v>
      </c>
      <c r="C343" s="133" t="s">
        <v>998</v>
      </c>
      <c r="D343" s="144">
        <v>43294</v>
      </c>
      <c r="E343" s="135" t="s">
        <v>36</v>
      </c>
      <c r="F343" s="136" t="s">
        <v>1001</v>
      </c>
      <c r="G343" s="582"/>
      <c r="H343" s="583"/>
      <c r="I343" s="584"/>
      <c r="J343" s="131" t="s">
        <v>41</v>
      </c>
      <c r="K343" s="132"/>
      <c r="L343" s="132"/>
      <c r="M343" s="138"/>
    </row>
    <row r="344" spans="1:13" s="152" customFormat="1" ht="24" customHeight="1" thickTop="1" thickBot="1">
      <c r="A344" s="518">
        <f>A343+176</f>
        <v>176</v>
      </c>
      <c r="B344" s="150" t="s">
        <v>19</v>
      </c>
      <c r="C344" s="150" t="s">
        <v>20</v>
      </c>
      <c r="D344" s="150" t="s">
        <v>21</v>
      </c>
      <c r="E344" s="528" t="s">
        <v>22</v>
      </c>
      <c r="F344" s="579"/>
      <c r="G344" s="528" t="s">
        <v>12</v>
      </c>
      <c r="H344" s="593"/>
      <c r="I344" s="164"/>
      <c r="J344" s="126" t="s">
        <v>39</v>
      </c>
      <c r="K344" s="127"/>
      <c r="L344" s="127"/>
      <c r="M344" s="137"/>
    </row>
    <row r="345" spans="1:13" s="152" customFormat="1" ht="23.25" thickBot="1">
      <c r="A345" s="521"/>
      <c r="B345" s="128" t="s">
        <v>1002</v>
      </c>
      <c r="C345" s="128" t="s">
        <v>1003</v>
      </c>
      <c r="D345" s="129">
        <v>43348</v>
      </c>
      <c r="E345" s="128"/>
      <c r="F345" s="128" t="s">
        <v>1004</v>
      </c>
      <c r="G345" s="524" t="s">
        <v>1005</v>
      </c>
      <c r="H345" s="585"/>
      <c r="I345" s="586"/>
      <c r="J345" s="130" t="s">
        <v>1006</v>
      </c>
      <c r="K345" s="130"/>
      <c r="L345" s="130" t="s">
        <v>42</v>
      </c>
      <c r="M345" s="30">
        <v>2566</v>
      </c>
    </row>
    <row r="346" spans="1:13" s="152" customFormat="1" ht="23.25" thickBot="1">
      <c r="A346" s="521"/>
      <c r="B346" s="153" t="s">
        <v>29</v>
      </c>
      <c r="C346" s="153" t="s">
        <v>30</v>
      </c>
      <c r="D346" s="153" t="s">
        <v>31</v>
      </c>
      <c r="E346" s="580" t="s">
        <v>32</v>
      </c>
      <c r="F346" s="581"/>
      <c r="G346" s="529"/>
      <c r="H346" s="530"/>
      <c r="I346" s="531"/>
      <c r="J346" s="131" t="s">
        <v>40</v>
      </c>
      <c r="K346" s="132"/>
      <c r="L346" s="132"/>
      <c r="M346" s="139"/>
    </row>
    <row r="347" spans="1:13" s="152" customFormat="1" ht="34.5" thickBot="1">
      <c r="A347" s="522"/>
      <c r="B347" s="134" t="s">
        <v>1007</v>
      </c>
      <c r="C347" s="134" t="s">
        <v>1008</v>
      </c>
      <c r="D347" s="144">
        <v>43373</v>
      </c>
      <c r="E347" s="135" t="s">
        <v>36</v>
      </c>
      <c r="F347" s="140" t="s">
        <v>1009</v>
      </c>
      <c r="G347" s="539"/>
      <c r="H347" s="540"/>
      <c r="I347" s="541"/>
      <c r="J347" s="141" t="s">
        <v>41</v>
      </c>
      <c r="K347" s="142"/>
      <c r="L347" s="142"/>
      <c r="M347" s="143"/>
    </row>
    <row r="348" spans="1:13" s="152" customFormat="1" ht="24" customHeight="1" thickTop="1" thickBot="1">
      <c r="A348" s="518">
        <f>A347+177</f>
        <v>177</v>
      </c>
      <c r="B348" s="150" t="s">
        <v>19</v>
      </c>
      <c r="C348" s="150" t="s">
        <v>20</v>
      </c>
      <c r="D348" s="150" t="s">
        <v>21</v>
      </c>
      <c r="E348" s="523" t="s">
        <v>22</v>
      </c>
      <c r="F348" s="523"/>
      <c r="G348" s="565" t="s">
        <v>12</v>
      </c>
      <c r="H348" s="566"/>
      <c r="I348" s="567"/>
      <c r="J348" s="126" t="s">
        <v>39</v>
      </c>
      <c r="K348" s="127"/>
      <c r="L348" s="127"/>
      <c r="M348" s="137"/>
    </row>
    <row r="349" spans="1:13" s="152" customFormat="1" ht="34.5" thickBot="1">
      <c r="A349" s="521"/>
      <c r="B349" s="128" t="s">
        <v>1010</v>
      </c>
      <c r="C349" s="128" t="s">
        <v>1011</v>
      </c>
      <c r="D349" s="129">
        <v>43266</v>
      </c>
      <c r="E349" s="128"/>
      <c r="F349" s="128" t="s">
        <v>367</v>
      </c>
      <c r="G349" s="524" t="s">
        <v>1012</v>
      </c>
      <c r="H349" s="585"/>
      <c r="I349" s="586"/>
      <c r="J349" s="130" t="s">
        <v>1013</v>
      </c>
      <c r="K349" s="130" t="s">
        <v>42</v>
      </c>
      <c r="L349" s="130"/>
      <c r="M349" s="23">
        <v>225</v>
      </c>
    </row>
    <row r="350" spans="1:13" s="152" customFormat="1" ht="23.25" thickBot="1">
      <c r="A350" s="521"/>
      <c r="B350" s="153" t="s">
        <v>29</v>
      </c>
      <c r="C350" s="153" t="s">
        <v>30</v>
      </c>
      <c r="D350" s="153" t="s">
        <v>31</v>
      </c>
      <c r="E350" s="580" t="s">
        <v>32</v>
      </c>
      <c r="F350" s="581"/>
      <c r="G350" s="529"/>
      <c r="H350" s="530"/>
      <c r="I350" s="531"/>
      <c r="J350" s="131" t="s">
        <v>40</v>
      </c>
      <c r="K350" s="132"/>
      <c r="L350" s="132"/>
      <c r="M350" s="138"/>
    </row>
    <row r="351" spans="1:13" s="152" customFormat="1" ht="15.75" thickBot="1">
      <c r="A351" s="522"/>
      <c r="B351" s="133" t="s">
        <v>1014</v>
      </c>
      <c r="C351" s="133" t="s">
        <v>1012</v>
      </c>
      <c r="D351" s="144">
        <v>43266</v>
      </c>
      <c r="E351" s="135" t="s">
        <v>36</v>
      </c>
      <c r="F351" s="136"/>
      <c r="G351" s="582"/>
      <c r="H351" s="583"/>
      <c r="I351" s="584"/>
      <c r="J351" s="131" t="s">
        <v>41</v>
      </c>
      <c r="K351" s="132"/>
      <c r="L351" s="132"/>
      <c r="M351" s="138"/>
    </row>
    <row r="352" spans="1:13" s="152" customFormat="1" ht="24" customHeight="1" thickTop="1" thickBot="1">
      <c r="A352" s="518">
        <f>A351+178</f>
        <v>178</v>
      </c>
      <c r="B352" s="150" t="s">
        <v>19</v>
      </c>
      <c r="C352" s="150" t="s">
        <v>20</v>
      </c>
      <c r="D352" s="150" t="s">
        <v>21</v>
      </c>
      <c r="E352" s="523" t="s">
        <v>22</v>
      </c>
      <c r="F352" s="523"/>
      <c r="G352" s="565" t="s">
        <v>12</v>
      </c>
      <c r="H352" s="566"/>
      <c r="I352" s="567"/>
      <c r="J352" s="126" t="s">
        <v>39</v>
      </c>
      <c r="K352" s="127"/>
      <c r="L352" s="127"/>
      <c r="M352" s="137"/>
    </row>
    <row r="353" spans="1:13" s="152" customFormat="1" ht="34.5" thickBot="1">
      <c r="A353" s="521"/>
      <c r="B353" s="128" t="s">
        <v>1015</v>
      </c>
      <c r="C353" s="128" t="s">
        <v>1011</v>
      </c>
      <c r="D353" s="129">
        <v>43266</v>
      </c>
      <c r="E353" s="128"/>
      <c r="F353" s="128" t="s">
        <v>367</v>
      </c>
      <c r="G353" s="524" t="s">
        <v>1012</v>
      </c>
      <c r="H353" s="585"/>
      <c r="I353" s="586"/>
      <c r="J353" s="130" t="s">
        <v>1013</v>
      </c>
      <c r="K353" s="130" t="s">
        <v>42</v>
      </c>
      <c r="L353" s="130"/>
      <c r="M353" s="23">
        <v>225</v>
      </c>
    </row>
    <row r="354" spans="1:13" s="152" customFormat="1" ht="23.25" thickBot="1">
      <c r="A354" s="521"/>
      <c r="B354" s="153" t="s">
        <v>29</v>
      </c>
      <c r="C354" s="153" t="s">
        <v>30</v>
      </c>
      <c r="D354" s="153" t="s">
        <v>31</v>
      </c>
      <c r="E354" s="580" t="s">
        <v>32</v>
      </c>
      <c r="F354" s="581"/>
      <c r="G354" s="529"/>
      <c r="H354" s="530"/>
      <c r="I354" s="531"/>
      <c r="J354" s="131" t="s">
        <v>40</v>
      </c>
      <c r="K354" s="132"/>
      <c r="L354" s="132"/>
      <c r="M354" s="138"/>
    </row>
    <row r="355" spans="1:13" s="152" customFormat="1" ht="23.25" thickBot="1">
      <c r="A355" s="522"/>
      <c r="B355" s="133" t="s">
        <v>1016</v>
      </c>
      <c r="C355" s="133" t="s">
        <v>1012</v>
      </c>
      <c r="D355" s="144">
        <v>43266</v>
      </c>
      <c r="E355" s="135" t="s">
        <v>36</v>
      </c>
      <c r="F355" s="136"/>
      <c r="G355" s="582"/>
      <c r="H355" s="583"/>
      <c r="I355" s="584"/>
      <c r="J355" s="131" t="s">
        <v>41</v>
      </c>
      <c r="K355" s="132"/>
      <c r="L355" s="132"/>
      <c r="M355" s="138"/>
    </row>
    <row r="356" spans="1:13" s="152" customFormat="1" ht="24" customHeight="1" thickTop="1" thickBot="1">
      <c r="A356" s="518">
        <f>A355+179</f>
        <v>179</v>
      </c>
      <c r="B356" s="150" t="s">
        <v>19</v>
      </c>
      <c r="C356" s="150" t="s">
        <v>20</v>
      </c>
      <c r="D356" s="150" t="s">
        <v>21</v>
      </c>
      <c r="E356" s="523" t="s">
        <v>22</v>
      </c>
      <c r="F356" s="523"/>
      <c r="G356" s="565" t="s">
        <v>12</v>
      </c>
      <c r="H356" s="566"/>
      <c r="I356" s="567"/>
      <c r="J356" s="126" t="s">
        <v>39</v>
      </c>
      <c r="K356" s="127"/>
      <c r="L356" s="127"/>
      <c r="M356" s="137"/>
    </row>
    <row r="357" spans="1:13" s="152" customFormat="1" ht="15.75" thickBot="1">
      <c r="A357" s="521"/>
      <c r="B357" s="128" t="s">
        <v>1017</v>
      </c>
      <c r="C357" s="128" t="s">
        <v>138</v>
      </c>
      <c r="D357" s="129">
        <v>43215</v>
      </c>
      <c r="E357" s="128"/>
      <c r="F357" s="128" t="s">
        <v>139</v>
      </c>
      <c r="G357" s="524" t="s">
        <v>140</v>
      </c>
      <c r="H357" s="585"/>
      <c r="I357" s="586"/>
      <c r="J357" s="130" t="s">
        <v>141</v>
      </c>
      <c r="K357" s="130"/>
      <c r="L357" s="87" t="s">
        <v>28</v>
      </c>
      <c r="M357" s="88">
        <v>6000</v>
      </c>
    </row>
    <row r="358" spans="1:13" s="152" customFormat="1" ht="23.25" thickBot="1">
      <c r="A358" s="521"/>
      <c r="B358" s="153" t="s">
        <v>29</v>
      </c>
      <c r="C358" s="153" t="s">
        <v>30</v>
      </c>
      <c r="D358" s="153" t="s">
        <v>31</v>
      </c>
      <c r="E358" s="580" t="s">
        <v>32</v>
      </c>
      <c r="F358" s="581"/>
      <c r="G358" s="529"/>
      <c r="H358" s="530"/>
      <c r="I358" s="531"/>
      <c r="J358" s="131" t="s">
        <v>40</v>
      </c>
      <c r="K358" s="132"/>
      <c r="L358" s="132"/>
      <c r="M358" s="138"/>
    </row>
    <row r="359" spans="1:13" s="152" customFormat="1" ht="34.5" thickBot="1">
      <c r="A359" s="522"/>
      <c r="B359" s="134" t="s">
        <v>1018</v>
      </c>
      <c r="C359" s="133" t="s">
        <v>140</v>
      </c>
      <c r="D359" s="144">
        <v>43217</v>
      </c>
      <c r="E359" s="135" t="s">
        <v>36</v>
      </c>
      <c r="F359" s="12" t="s">
        <v>1019</v>
      </c>
      <c r="G359" s="582"/>
      <c r="H359" s="583"/>
      <c r="I359" s="584"/>
      <c r="J359" s="131" t="s">
        <v>41</v>
      </c>
      <c r="K359" s="132"/>
      <c r="L359" s="132"/>
      <c r="M359" s="138"/>
    </row>
    <row r="360" spans="1:13" s="152" customFormat="1" ht="24" customHeight="1" thickTop="1" thickBot="1">
      <c r="A360" s="518">
        <f>A359+180</f>
        <v>180</v>
      </c>
      <c r="B360" s="150" t="s">
        <v>19</v>
      </c>
      <c r="C360" s="150" t="s">
        <v>20</v>
      </c>
      <c r="D360" s="150" t="s">
        <v>21</v>
      </c>
      <c r="E360" s="523" t="s">
        <v>22</v>
      </c>
      <c r="F360" s="523"/>
      <c r="G360" s="565" t="s">
        <v>12</v>
      </c>
      <c r="H360" s="566"/>
      <c r="I360" s="567"/>
      <c r="J360" s="126" t="s">
        <v>39</v>
      </c>
      <c r="K360" s="127"/>
      <c r="L360" s="127"/>
      <c r="M360" s="137"/>
    </row>
    <row r="361" spans="1:13" s="152" customFormat="1" ht="15.75" thickBot="1">
      <c r="A361" s="521"/>
      <c r="B361" s="128" t="s">
        <v>1020</v>
      </c>
      <c r="C361" s="128" t="s">
        <v>138</v>
      </c>
      <c r="D361" s="129">
        <v>43215</v>
      </c>
      <c r="E361" s="128"/>
      <c r="F361" s="128" t="s">
        <v>139</v>
      </c>
      <c r="G361" s="524" t="s">
        <v>140</v>
      </c>
      <c r="H361" s="585"/>
      <c r="I361" s="586"/>
      <c r="J361" s="130" t="s">
        <v>141</v>
      </c>
      <c r="K361" s="130"/>
      <c r="L361" s="87" t="s">
        <v>28</v>
      </c>
      <c r="M361" s="88">
        <v>6000</v>
      </c>
    </row>
    <row r="362" spans="1:13" s="152" customFormat="1" ht="23.25" thickBot="1">
      <c r="A362" s="521"/>
      <c r="B362" s="153" t="s">
        <v>29</v>
      </c>
      <c r="C362" s="153" t="s">
        <v>30</v>
      </c>
      <c r="D362" s="153" t="s">
        <v>31</v>
      </c>
      <c r="E362" s="580" t="s">
        <v>32</v>
      </c>
      <c r="F362" s="581"/>
      <c r="G362" s="529"/>
      <c r="H362" s="530"/>
      <c r="I362" s="531"/>
      <c r="J362" s="131" t="s">
        <v>40</v>
      </c>
      <c r="K362" s="132"/>
      <c r="L362" s="132"/>
      <c r="M362" s="138"/>
    </row>
    <row r="363" spans="1:13" s="152" customFormat="1" ht="23.25" thickBot="1">
      <c r="A363" s="522"/>
      <c r="B363" s="134" t="s">
        <v>1021</v>
      </c>
      <c r="C363" s="133" t="s">
        <v>140</v>
      </c>
      <c r="D363" s="144">
        <v>43217</v>
      </c>
      <c r="E363" s="135" t="s">
        <v>36</v>
      </c>
      <c r="F363" s="12" t="s">
        <v>1019</v>
      </c>
      <c r="G363" s="582"/>
      <c r="H363" s="583"/>
      <c r="I363" s="584"/>
      <c r="J363" s="131" t="s">
        <v>41</v>
      </c>
      <c r="K363" s="132"/>
      <c r="L363" s="132"/>
      <c r="M363" s="138"/>
    </row>
    <row r="364" spans="1:13" s="152" customFormat="1" ht="24" customHeight="1" thickTop="1" thickBot="1">
      <c r="A364" s="518">
        <f>A363+181</f>
        <v>181</v>
      </c>
      <c r="B364" s="150" t="s">
        <v>19</v>
      </c>
      <c r="C364" s="150" t="s">
        <v>20</v>
      </c>
      <c r="D364" s="150" t="s">
        <v>21</v>
      </c>
      <c r="E364" s="523" t="s">
        <v>22</v>
      </c>
      <c r="F364" s="523"/>
      <c r="G364" s="565" t="s">
        <v>12</v>
      </c>
      <c r="H364" s="566"/>
      <c r="I364" s="567"/>
      <c r="J364" s="126" t="s">
        <v>39</v>
      </c>
      <c r="K364" s="127"/>
      <c r="L364" s="127"/>
      <c r="M364" s="137"/>
    </row>
    <row r="365" spans="1:13" s="152" customFormat="1" ht="15.75" thickBot="1">
      <c r="A365" s="521"/>
      <c r="B365" s="128" t="s">
        <v>1022</v>
      </c>
      <c r="C365" s="128" t="s">
        <v>138</v>
      </c>
      <c r="D365" s="129">
        <v>43215</v>
      </c>
      <c r="E365" s="128"/>
      <c r="F365" s="128" t="s">
        <v>139</v>
      </c>
      <c r="G365" s="524" t="s">
        <v>140</v>
      </c>
      <c r="H365" s="585"/>
      <c r="I365" s="586"/>
      <c r="J365" s="130" t="s">
        <v>141</v>
      </c>
      <c r="K365" s="130"/>
      <c r="L365" s="87" t="s">
        <v>28</v>
      </c>
      <c r="M365" s="88">
        <v>6000</v>
      </c>
    </row>
    <row r="366" spans="1:13" s="152" customFormat="1" ht="23.25" thickBot="1">
      <c r="A366" s="521"/>
      <c r="B366" s="153" t="s">
        <v>29</v>
      </c>
      <c r="C366" s="153" t="s">
        <v>30</v>
      </c>
      <c r="D366" s="153" t="s">
        <v>31</v>
      </c>
      <c r="E366" s="580" t="s">
        <v>32</v>
      </c>
      <c r="F366" s="581"/>
      <c r="G366" s="529"/>
      <c r="H366" s="530"/>
      <c r="I366" s="531"/>
      <c r="J366" s="131" t="s">
        <v>40</v>
      </c>
      <c r="K366" s="132"/>
      <c r="L366" s="132"/>
      <c r="M366" s="138"/>
    </row>
    <row r="367" spans="1:13" s="152" customFormat="1" ht="23.25" thickBot="1">
      <c r="A367" s="522"/>
      <c r="B367" s="134" t="s">
        <v>1023</v>
      </c>
      <c r="C367" s="133" t="s">
        <v>140</v>
      </c>
      <c r="D367" s="144">
        <v>43217</v>
      </c>
      <c r="E367" s="135" t="s">
        <v>36</v>
      </c>
      <c r="F367" s="12" t="s">
        <v>1019</v>
      </c>
      <c r="G367" s="582"/>
      <c r="H367" s="583"/>
      <c r="I367" s="584"/>
      <c r="J367" s="131" t="s">
        <v>41</v>
      </c>
      <c r="K367" s="132"/>
      <c r="L367" s="132"/>
      <c r="M367" s="138"/>
    </row>
    <row r="368" spans="1:13" s="152" customFormat="1" ht="24" customHeight="1" thickTop="1" thickBot="1">
      <c r="A368" s="518">
        <f>A367+182</f>
        <v>182</v>
      </c>
      <c r="B368" s="150" t="s">
        <v>19</v>
      </c>
      <c r="C368" s="150" t="s">
        <v>20</v>
      </c>
      <c r="D368" s="150" t="s">
        <v>21</v>
      </c>
      <c r="E368" s="523" t="s">
        <v>22</v>
      </c>
      <c r="F368" s="523"/>
      <c r="G368" s="565" t="s">
        <v>12</v>
      </c>
      <c r="H368" s="566"/>
      <c r="I368" s="567"/>
      <c r="J368" s="126" t="s">
        <v>39</v>
      </c>
      <c r="K368" s="127"/>
      <c r="L368" s="127"/>
      <c r="M368" s="137"/>
    </row>
    <row r="369" spans="1:13" s="152" customFormat="1" ht="15.75" thickBot="1">
      <c r="A369" s="521"/>
      <c r="B369" s="128" t="s">
        <v>1024</v>
      </c>
      <c r="C369" s="128" t="s">
        <v>138</v>
      </c>
      <c r="D369" s="129">
        <v>43215</v>
      </c>
      <c r="E369" s="128"/>
      <c r="F369" s="128" t="s">
        <v>139</v>
      </c>
      <c r="G369" s="524" t="s">
        <v>140</v>
      </c>
      <c r="H369" s="585"/>
      <c r="I369" s="586"/>
      <c r="J369" s="130" t="s">
        <v>141</v>
      </c>
      <c r="K369" s="130"/>
      <c r="L369" s="87" t="s">
        <v>28</v>
      </c>
      <c r="M369" s="88">
        <v>6000</v>
      </c>
    </row>
    <row r="370" spans="1:13" s="152" customFormat="1" ht="23.25" thickBot="1">
      <c r="A370" s="521"/>
      <c r="B370" s="153" t="s">
        <v>29</v>
      </c>
      <c r="C370" s="153" t="s">
        <v>30</v>
      </c>
      <c r="D370" s="153" t="s">
        <v>31</v>
      </c>
      <c r="E370" s="580" t="s">
        <v>32</v>
      </c>
      <c r="F370" s="581"/>
      <c r="G370" s="529"/>
      <c r="H370" s="530"/>
      <c r="I370" s="531"/>
      <c r="J370" s="131" t="s">
        <v>40</v>
      </c>
      <c r="K370" s="132"/>
      <c r="L370" s="132"/>
      <c r="M370" s="138"/>
    </row>
    <row r="371" spans="1:13" s="152" customFormat="1" ht="34.5" thickBot="1">
      <c r="A371" s="522"/>
      <c r="B371" s="134" t="s">
        <v>1025</v>
      </c>
      <c r="C371" s="133" t="s">
        <v>140</v>
      </c>
      <c r="D371" s="144">
        <v>43217</v>
      </c>
      <c r="E371" s="135" t="s">
        <v>36</v>
      </c>
      <c r="F371" s="12" t="s">
        <v>1019</v>
      </c>
      <c r="G371" s="582"/>
      <c r="H371" s="583"/>
      <c r="I371" s="584"/>
      <c r="J371" s="131" t="s">
        <v>41</v>
      </c>
      <c r="K371" s="132"/>
      <c r="L371" s="132"/>
      <c r="M371" s="138"/>
    </row>
    <row r="372" spans="1:13" s="152" customFormat="1" ht="24" customHeight="1" thickTop="1" thickBot="1">
      <c r="A372" s="518">
        <f>A371+183</f>
        <v>183</v>
      </c>
      <c r="B372" s="150" t="s">
        <v>19</v>
      </c>
      <c r="C372" s="150" t="s">
        <v>20</v>
      </c>
      <c r="D372" s="150" t="s">
        <v>21</v>
      </c>
      <c r="E372" s="523" t="s">
        <v>22</v>
      </c>
      <c r="F372" s="523"/>
      <c r="G372" s="565" t="s">
        <v>12</v>
      </c>
      <c r="H372" s="566"/>
      <c r="I372" s="567"/>
      <c r="J372" s="126" t="s">
        <v>39</v>
      </c>
      <c r="K372" s="127"/>
      <c r="L372" s="127"/>
      <c r="M372" s="137"/>
    </row>
    <row r="373" spans="1:13" s="152" customFormat="1" ht="15.75" thickBot="1">
      <c r="A373" s="521"/>
      <c r="B373" s="128" t="s">
        <v>1026</v>
      </c>
      <c r="C373" s="128" t="s">
        <v>138</v>
      </c>
      <c r="D373" s="129">
        <v>43215</v>
      </c>
      <c r="E373" s="128"/>
      <c r="F373" s="128" t="s">
        <v>139</v>
      </c>
      <c r="G373" s="524" t="s">
        <v>140</v>
      </c>
      <c r="H373" s="585"/>
      <c r="I373" s="586"/>
      <c r="J373" s="130" t="s">
        <v>141</v>
      </c>
      <c r="K373" s="130"/>
      <c r="L373" s="87" t="s">
        <v>28</v>
      </c>
      <c r="M373" s="88">
        <v>6000</v>
      </c>
    </row>
    <row r="374" spans="1:13" s="152" customFormat="1" ht="23.25" thickBot="1">
      <c r="A374" s="521"/>
      <c r="B374" s="153" t="s">
        <v>29</v>
      </c>
      <c r="C374" s="153" t="s">
        <v>30</v>
      </c>
      <c r="D374" s="153" t="s">
        <v>31</v>
      </c>
      <c r="E374" s="580" t="s">
        <v>32</v>
      </c>
      <c r="F374" s="581"/>
      <c r="G374" s="529"/>
      <c r="H374" s="530"/>
      <c r="I374" s="531"/>
      <c r="J374" s="131" t="s">
        <v>40</v>
      </c>
      <c r="K374" s="132"/>
      <c r="L374" s="132"/>
      <c r="M374" s="138"/>
    </row>
    <row r="375" spans="1:13" s="152" customFormat="1" ht="23.25" thickBot="1">
      <c r="A375" s="522"/>
      <c r="B375" s="392" t="s">
        <v>1027</v>
      </c>
      <c r="C375" s="133" t="s">
        <v>140</v>
      </c>
      <c r="D375" s="144">
        <v>43217</v>
      </c>
      <c r="E375" s="135" t="s">
        <v>36</v>
      </c>
      <c r="F375" s="12" t="s">
        <v>1019</v>
      </c>
      <c r="G375" s="582"/>
      <c r="H375" s="583"/>
      <c r="I375" s="584"/>
      <c r="J375" s="131" t="s">
        <v>41</v>
      </c>
      <c r="K375" s="132"/>
      <c r="L375" s="132"/>
      <c r="M375" s="138"/>
    </row>
    <row r="376" spans="1:13" s="152" customFormat="1" ht="24" customHeight="1" thickTop="1" thickBot="1">
      <c r="A376" s="518">
        <f>A375+184</f>
        <v>184</v>
      </c>
      <c r="B376" s="150" t="s">
        <v>19</v>
      </c>
      <c r="C376" s="150" t="s">
        <v>20</v>
      </c>
      <c r="D376" s="150" t="s">
        <v>21</v>
      </c>
      <c r="E376" s="523" t="s">
        <v>22</v>
      </c>
      <c r="F376" s="523"/>
      <c r="G376" s="523" t="s">
        <v>12</v>
      </c>
      <c r="H376" s="528"/>
      <c r="I376" s="164"/>
      <c r="J376" s="126" t="s">
        <v>39</v>
      </c>
      <c r="K376" s="127"/>
      <c r="L376" s="127"/>
      <c r="M376" s="22"/>
    </row>
    <row r="377" spans="1:13" s="152" customFormat="1" ht="15.75" thickBot="1">
      <c r="A377" s="521"/>
      <c r="B377" s="128" t="s">
        <v>1028</v>
      </c>
      <c r="C377" s="128" t="s">
        <v>138</v>
      </c>
      <c r="D377" s="129">
        <v>43257</v>
      </c>
      <c r="E377" s="128"/>
      <c r="F377" s="128" t="s">
        <v>139</v>
      </c>
      <c r="G377" s="524" t="s">
        <v>140</v>
      </c>
      <c r="H377" s="585"/>
      <c r="I377" s="586"/>
      <c r="J377" s="130" t="s">
        <v>141</v>
      </c>
      <c r="K377" s="130"/>
      <c r="L377" s="87" t="s">
        <v>28</v>
      </c>
      <c r="M377" s="88">
        <v>6000</v>
      </c>
    </row>
    <row r="378" spans="1:13" s="152" customFormat="1" ht="23.25" thickBot="1">
      <c r="A378" s="521"/>
      <c r="B378" s="153" t="s">
        <v>29</v>
      </c>
      <c r="C378" s="153" t="s">
        <v>30</v>
      </c>
      <c r="D378" s="153" t="s">
        <v>31</v>
      </c>
      <c r="E378" s="580" t="s">
        <v>32</v>
      </c>
      <c r="F378" s="581"/>
      <c r="G378" s="529"/>
      <c r="H378" s="530"/>
      <c r="I378" s="531"/>
      <c r="J378" s="131" t="s">
        <v>40</v>
      </c>
      <c r="K378" s="132"/>
      <c r="L378" s="132"/>
      <c r="M378" s="138"/>
    </row>
    <row r="379" spans="1:13" s="152" customFormat="1" ht="23.25" thickBot="1">
      <c r="A379" s="522"/>
      <c r="B379" s="133" t="s">
        <v>1029</v>
      </c>
      <c r="C379" s="133" t="s">
        <v>140</v>
      </c>
      <c r="D379" s="129">
        <v>43259</v>
      </c>
      <c r="E379" s="135" t="s">
        <v>36</v>
      </c>
      <c r="F379" s="12" t="s">
        <v>1030</v>
      </c>
      <c r="G379" s="582"/>
      <c r="H379" s="583"/>
      <c r="I379" s="584"/>
      <c r="J379" s="131" t="s">
        <v>41</v>
      </c>
      <c r="K379" s="132"/>
      <c r="L379" s="132"/>
      <c r="M379" s="138"/>
    </row>
    <row r="380" spans="1:13" s="152" customFormat="1" ht="24" customHeight="1" thickTop="1" thickBot="1">
      <c r="A380" s="518">
        <f>A379+185</f>
        <v>185</v>
      </c>
      <c r="B380" s="150" t="s">
        <v>19</v>
      </c>
      <c r="C380" s="150" t="s">
        <v>20</v>
      </c>
      <c r="D380" s="150" t="s">
        <v>21</v>
      </c>
      <c r="E380" s="523" t="s">
        <v>22</v>
      </c>
      <c r="F380" s="523"/>
      <c r="G380" s="523" t="s">
        <v>12</v>
      </c>
      <c r="H380" s="528"/>
      <c r="I380" s="164"/>
      <c r="J380" s="126" t="s">
        <v>39</v>
      </c>
      <c r="K380" s="127"/>
      <c r="L380" s="127"/>
      <c r="M380" s="22"/>
    </row>
    <row r="381" spans="1:13" s="152" customFormat="1" ht="15.75" thickBot="1">
      <c r="A381" s="521"/>
      <c r="B381" s="128" t="s">
        <v>1031</v>
      </c>
      <c r="C381" s="128" t="s">
        <v>138</v>
      </c>
      <c r="D381" s="129">
        <v>43257</v>
      </c>
      <c r="E381" s="128"/>
      <c r="F381" s="128" t="s">
        <v>139</v>
      </c>
      <c r="G381" s="524" t="s">
        <v>140</v>
      </c>
      <c r="H381" s="585"/>
      <c r="I381" s="586"/>
      <c r="J381" s="130" t="s">
        <v>141</v>
      </c>
      <c r="K381" s="130"/>
      <c r="L381" s="87" t="s">
        <v>28</v>
      </c>
      <c r="M381" s="88">
        <v>6000</v>
      </c>
    </row>
    <row r="382" spans="1:13" s="152" customFormat="1" ht="23.25" thickBot="1">
      <c r="A382" s="521"/>
      <c r="B382" s="153" t="s">
        <v>29</v>
      </c>
      <c r="C382" s="153" t="s">
        <v>30</v>
      </c>
      <c r="D382" s="153" t="s">
        <v>31</v>
      </c>
      <c r="E382" s="580" t="s">
        <v>32</v>
      </c>
      <c r="F382" s="581"/>
      <c r="G382" s="529"/>
      <c r="H382" s="530"/>
      <c r="I382" s="531"/>
      <c r="J382" s="131" t="s">
        <v>40</v>
      </c>
      <c r="K382" s="132"/>
      <c r="L382" s="132"/>
      <c r="M382" s="138"/>
    </row>
    <row r="383" spans="1:13" s="152" customFormat="1" ht="23.25" thickBot="1">
      <c r="A383" s="522"/>
      <c r="B383" s="133" t="s">
        <v>1032</v>
      </c>
      <c r="C383" s="133" t="s">
        <v>140</v>
      </c>
      <c r="D383" s="129">
        <v>43259</v>
      </c>
      <c r="E383" s="135" t="s">
        <v>36</v>
      </c>
      <c r="F383" s="12" t="s">
        <v>1030</v>
      </c>
      <c r="G383" s="582"/>
      <c r="H383" s="583"/>
      <c r="I383" s="584"/>
      <c r="J383" s="131" t="s">
        <v>41</v>
      </c>
      <c r="K383" s="132"/>
      <c r="L383" s="132"/>
      <c r="M383" s="138"/>
    </row>
    <row r="384" spans="1:13" s="152" customFormat="1" ht="24" customHeight="1" thickTop="1" thickBot="1">
      <c r="A384" s="518">
        <f>A383+186</f>
        <v>186</v>
      </c>
      <c r="B384" s="150" t="s">
        <v>19</v>
      </c>
      <c r="C384" s="150" t="s">
        <v>20</v>
      </c>
      <c r="D384" s="150" t="s">
        <v>21</v>
      </c>
      <c r="E384" s="523" t="s">
        <v>22</v>
      </c>
      <c r="F384" s="523"/>
      <c r="G384" s="523" t="s">
        <v>12</v>
      </c>
      <c r="H384" s="528"/>
      <c r="I384" s="164"/>
      <c r="J384" s="126" t="s">
        <v>39</v>
      </c>
      <c r="K384" s="127"/>
      <c r="L384" s="127"/>
      <c r="M384" s="22"/>
    </row>
    <row r="385" spans="1:13" s="152" customFormat="1" ht="15.75" thickBot="1">
      <c r="A385" s="521"/>
      <c r="B385" s="128" t="s">
        <v>1033</v>
      </c>
      <c r="C385" s="128" t="s">
        <v>138</v>
      </c>
      <c r="D385" s="129">
        <v>43257</v>
      </c>
      <c r="E385" s="128"/>
      <c r="F385" s="128" t="s">
        <v>139</v>
      </c>
      <c r="G385" s="524" t="s">
        <v>140</v>
      </c>
      <c r="H385" s="585"/>
      <c r="I385" s="586"/>
      <c r="J385" s="130" t="s">
        <v>141</v>
      </c>
      <c r="K385" s="130"/>
      <c r="L385" s="87" t="s">
        <v>28</v>
      </c>
      <c r="M385" s="88">
        <v>6000</v>
      </c>
    </row>
    <row r="386" spans="1:13" s="152" customFormat="1" ht="23.25" thickBot="1">
      <c r="A386" s="521"/>
      <c r="B386" s="153" t="s">
        <v>29</v>
      </c>
      <c r="C386" s="153" t="s">
        <v>30</v>
      </c>
      <c r="D386" s="153" t="s">
        <v>31</v>
      </c>
      <c r="E386" s="580" t="s">
        <v>32</v>
      </c>
      <c r="F386" s="581"/>
      <c r="G386" s="529"/>
      <c r="H386" s="530"/>
      <c r="I386" s="531"/>
      <c r="J386" s="131" t="s">
        <v>40</v>
      </c>
      <c r="K386" s="132"/>
      <c r="L386" s="132"/>
      <c r="M386" s="138"/>
    </row>
    <row r="387" spans="1:13" s="152" customFormat="1" ht="23.25" thickBot="1">
      <c r="A387" s="522"/>
      <c r="B387" s="133" t="s">
        <v>1034</v>
      </c>
      <c r="C387" s="133" t="s">
        <v>140</v>
      </c>
      <c r="D387" s="129">
        <v>43259</v>
      </c>
      <c r="E387" s="135" t="s">
        <v>36</v>
      </c>
      <c r="F387" s="12" t="s">
        <v>1030</v>
      </c>
      <c r="G387" s="582"/>
      <c r="H387" s="583"/>
      <c r="I387" s="584"/>
      <c r="J387" s="131" t="s">
        <v>41</v>
      </c>
      <c r="K387" s="132"/>
      <c r="L387" s="132"/>
      <c r="M387" s="138"/>
    </row>
    <row r="388" spans="1:13" s="152" customFormat="1" ht="24" customHeight="1" thickTop="1" thickBot="1">
      <c r="A388" s="518">
        <f>A387+187</f>
        <v>187</v>
      </c>
      <c r="B388" s="150" t="s">
        <v>19</v>
      </c>
      <c r="C388" s="150" t="s">
        <v>20</v>
      </c>
      <c r="D388" s="150" t="s">
        <v>21</v>
      </c>
      <c r="E388" s="523" t="s">
        <v>22</v>
      </c>
      <c r="F388" s="523"/>
      <c r="G388" s="523" t="s">
        <v>12</v>
      </c>
      <c r="H388" s="528"/>
      <c r="I388" s="164"/>
      <c r="J388" s="126" t="s">
        <v>39</v>
      </c>
      <c r="K388" s="127"/>
      <c r="L388" s="127"/>
      <c r="M388" s="22"/>
    </row>
    <row r="389" spans="1:13" s="152" customFormat="1" ht="15.75" thickBot="1">
      <c r="A389" s="521"/>
      <c r="B389" s="128" t="s">
        <v>1035</v>
      </c>
      <c r="C389" s="128" t="s">
        <v>138</v>
      </c>
      <c r="D389" s="129">
        <v>43257</v>
      </c>
      <c r="E389" s="128"/>
      <c r="F389" s="128" t="s">
        <v>139</v>
      </c>
      <c r="G389" s="524" t="s">
        <v>140</v>
      </c>
      <c r="H389" s="585"/>
      <c r="I389" s="586"/>
      <c r="J389" s="130" t="s">
        <v>141</v>
      </c>
      <c r="K389" s="130"/>
      <c r="L389" s="87" t="s">
        <v>28</v>
      </c>
      <c r="M389" s="88">
        <v>6000</v>
      </c>
    </row>
    <row r="390" spans="1:13" s="152" customFormat="1" ht="23.25" thickBot="1">
      <c r="A390" s="521"/>
      <c r="B390" s="153" t="s">
        <v>29</v>
      </c>
      <c r="C390" s="153" t="s">
        <v>30</v>
      </c>
      <c r="D390" s="153" t="s">
        <v>31</v>
      </c>
      <c r="E390" s="580" t="s">
        <v>32</v>
      </c>
      <c r="F390" s="581"/>
      <c r="G390" s="529"/>
      <c r="H390" s="530"/>
      <c r="I390" s="531"/>
      <c r="J390" s="131" t="s">
        <v>40</v>
      </c>
      <c r="K390" s="132"/>
      <c r="L390" s="132"/>
      <c r="M390" s="138"/>
    </row>
    <row r="391" spans="1:13" s="152" customFormat="1" ht="23.25" thickBot="1">
      <c r="A391" s="522"/>
      <c r="B391" s="133" t="s">
        <v>1032</v>
      </c>
      <c r="C391" s="133" t="s">
        <v>140</v>
      </c>
      <c r="D391" s="129">
        <v>43259</v>
      </c>
      <c r="E391" s="135" t="s">
        <v>36</v>
      </c>
      <c r="F391" s="12" t="s">
        <v>1030</v>
      </c>
      <c r="G391" s="582"/>
      <c r="H391" s="583"/>
      <c r="I391" s="584"/>
      <c r="J391" s="131" t="s">
        <v>41</v>
      </c>
      <c r="K391" s="132"/>
      <c r="L391" s="132"/>
      <c r="M391" s="138"/>
    </row>
    <row r="392" spans="1:13" s="152" customFormat="1" ht="24" customHeight="1" thickTop="1" thickBot="1">
      <c r="A392" s="518">
        <f>A391+188</f>
        <v>188</v>
      </c>
      <c r="B392" s="150" t="s">
        <v>19</v>
      </c>
      <c r="C392" s="150" t="s">
        <v>20</v>
      </c>
      <c r="D392" s="150" t="s">
        <v>21</v>
      </c>
      <c r="E392" s="523" t="s">
        <v>22</v>
      </c>
      <c r="F392" s="523"/>
      <c r="G392" s="523" t="s">
        <v>12</v>
      </c>
      <c r="H392" s="528"/>
      <c r="I392" s="164"/>
      <c r="J392" s="126" t="s">
        <v>39</v>
      </c>
      <c r="K392" s="127"/>
      <c r="L392" s="127"/>
      <c r="M392" s="22"/>
    </row>
    <row r="393" spans="1:13" s="152" customFormat="1" ht="15.75" thickBot="1">
      <c r="A393" s="521"/>
      <c r="B393" s="128" t="s">
        <v>1036</v>
      </c>
      <c r="C393" s="128" t="s">
        <v>138</v>
      </c>
      <c r="D393" s="129">
        <v>43257</v>
      </c>
      <c r="E393" s="128"/>
      <c r="F393" s="128" t="s">
        <v>139</v>
      </c>
      <c r="G393" s="524" t="s">
        <v>140</v>
      </c>
      <c r="H393" s="585"/>
      <c r="I393" s="586"/>
      <c r="J393" s="130" t="s">
        <v>141</v>
      </c>
      <c r="K393" s="130"/>
      <c r="L393" s="87" t="s">
        <v>28</v>
      </c>
      <c r="M393" s="88">
        <v>6000</v>
      </c>
    </row>
    <row r="394" spans="1:13" s="152" customFormat="1" ht="23.25" thickBot="1">
      <c r="A394" s="521"/>
      <c r="B394" s="153" t="s">
        <v>29</v>
      </c>
      <c r="C394" s="153" t="s">
        <v>30</v>
      </c>
      <c r="D394" s="153" t="s">
        <v>31</v>
      </c>
      <c r="E394" s="580" t="s">
        <v>32</v>
      </c>
      <c r="F394" s="581"/>
      <c r="G394" s="529"/>
      <c r="H394" s="530"/>
      <c r="I394" s="531"/>
      <c r="J394" s="131" t="s">
        <v>40</v>
      </c>
      <c r="K394" s="132"/>
      <c r="L394" s="132"/>
      <c r="M394" s="138"/>
    </row>
    <row r="395" spans="1:13" s="152" customFormat="1" ht="23.25" thickBot="1">
      <c r="A395" s="522"/>
      <c r="B395" s="133" t="s">
        <v>1037</v>
      </c>
      <c r="C395" s="133" t="s">
        <v>140</v>
      </c>
      <c r="D395" s="129">
        <v>43259</v>
      </c>
      <c r="E395" s="135" t="s">
        <v>36</v>
      </c>
      <c r="F395" s="12" t="s">
        <v>1030</v>
      </c>
      <c r="G395" s="582"/>
      <c r="H395" s="583"/>
      <c r="I395" s="584"/>
      <c r="J395" s="131" t="s">
        <v>41</v>
      </c>
      <c r="K395" s="132"/>
      <c r="L395" s="132"/>
      <c r="M395" s="138"/>
    </row>
    <row r="396" spans="1:13" s="152" customFormat="1" ht="24" customHeight="1" thickTop="1" thickBot="1">
      <c r="A396" s="518">
        <f>A395+189</f>
        <v>189</v>
      </c>
      <c r="B396" s="150" t="s">
        <v>19</v>
      </c>
      <c r="C396" s="150" t="s">
        <v>20</v>
      </c>
      <c r="D396" s="150" t="s">
        <v>21</v>
      </c>
      <c r="E396" s="523" t="s">
        <v>22</v>
      </c>
      <c r="F396" s="523"/>
      <c r="G396" s="523" t="s">
        <v>12</v>
      </c>
      <c r="H396" s="528"/>
      <c r="I396" s="164"/>
      <c r="J396" s="126" t="s">
        <v>39</v>
      </c>
      <c r="K396" s="127"/>
      <c r="L396" s="127"/>
      <c r="M396" s="22"/>
    </row>
    <row r="397" spans="1:13" s="152" customFormat="1" ht="15.75" thickBot="1">
      <c r="A397" s="521"/>
      <c r="B397" s="112" t="s">
        <v>1038</v>
      </c>
      <c r="C397" s="128" t="s">
        <v>138</v>
      </c>
      <c r="D397" s="129">
        <v>43257</v>
      </c>
      <c r="E397" s="128"/>
      <c r="F397" s="128" t="s">
        <v>139</v>
      </c>
      <c r="G397" s="524" t="s">
        <v>140</v>
      </c>
      <c r="H397" s="585"/>
      <c r="I397" s="586"/>
      <c r="J397" s="130" t="s">
        <v>141</v>
      </c>
      <c r="K397" s="130"/>
      <c r="L397" s="87" t="s">
        <v>28</v>
      </c>
      <c r="M397" s="88">
        <v>6000</v>
      </c>
    </row>
    <row r="398" spans="1:13" s="152" customFormat="1" ht="23.25" thickBot="1">
      <c r="A398" s="521"/>
      <c r="B398" s="153" t="s">
        <v>29</v>
      </c>
      <c r="C398" s="153" t="s">
        <v>30</v>
      </c>
      <c r="D398" s="153" t="s">
        <v>31</v>
      </c>
      <c r="E398" s="580" t="s">
        <v>32</v>
      </c>
      <c r="F398" s="581"/>
      <c r="G398" s="529"/>
      <c r="H398" s="530"/>
      <c r="I398" s="531"/>
      <c r="J398" s="131" t="s">
        <v>40</v>
      </c>
      <c r="K398" s="132"/>
      <c r="L398" s="132"/>
      <c r="M398" s="138"/>
    </row>
    <row r="399" spans="1:13" s="152" customFormat="1" ht="23.25" thickBot="1">
      <c r="A399" s="522"/>
      <c r="B399" s="114" t="s">
        <v>1039</v>
      </c>
      <c r="C399" s="133" t="s">
        <v>140</v>
      </c>
      <c r="D399" s="129">
        <v>43259</v>
      </c>
      <c r="E399" s="135" t="s">
        <v>36</v>
      </c>
      <c r="F399" s="12" t="s">
        <v>1030</v>
      </c>
      <c r="G399" s="582"/>
      <c r="H399" s="583"/>
      <c r="I399" s="584"/>
      <c r="J399" s="131" t="s">
        <v>41</v>
      </c>
      <c r="K399" s="132"/>
      <c r="L399" s="132"/>
      <c r="M399" s="138"/>
    </row>
    <row r="400" spans="1:13" s="152" customFormat="1" ht="24" customHeight="1" thickTop="1" thickBot="1">
      <c r="A400" s="518">
        <f>A399+190</f>
        <v>190</v>
      </c>
      <c r="B400" s="150" t="s">
        <v>19</v>
      </c>
      <c r="C400" s="150" t="s">
        <v>20</v>
      </c>
      <c r="D400" s="150" t="s">
        <v>21</v>
      </c>
      <c r="E400" s="523" t="s">
        <v>22</v>
      </c>
      <c r="F400" s="523"/>
      <c r="G400" s="523" t="s">
        <v>12</v>
      </c>
      <c r="H400" s="528"/>
      <c r="I400" s="164"/>
      <c r="J400" s="126" t="s">
        <v>39</v>
      </c>
      <c r="K400" s="127"/>
      <c r="L400" s="127"/>
      <c r="M400" s="22"/>
    </row>
    <row r="401" spans="1:13" s="152" customFormat="1" ht="23.25" thickBot="1">
      <c r="A401" s="521"/>
      <c r="B401" s="112" t="s">
        <v>1040</v>
      </c>
      <c r="C401" s="112" t="s">
        <v>1041</v>
      </c>
      <c r="D401" s="129">
        <v>43369</v>
      </c>
      <c r="E401" s="128"/>
      <c r="F401" s="128" t="s">
        <v>1042</v>
      </c>
      <c r="G401" s="524" t="s">
        <v>1043</v>
      </c>
      <c r="H401" s="585"/>
      <c r="I401" s="586"/>
      <c r="J401" s="130" t="s">
        <v>27</v>
      </c>
      <c r="K401" s="130"/>
      <c r="L401" s="87" t="s">
        <v>28</v>
      </c>
      <c r="M401" s="88">
        <v>235</v>
      </c>
    </row>
    <row r="402" spans="1:13" s="152" customFormat="1" ht="23.25" thickBot="1">
      <c r="A402" s="521"/>
      <c r="B402" s="153" t="s">
        <v>29</v>
      </c>
      <c r="C402" s="153" t="s">
        <v>30</v>
      </c>
      <c r="D402" s="153" t="s">
        <v>31</v>
      </c>
      <c r="E402" s="527" t="s">
        <v>32</v>
      </c>
      <c r="F402" s="527"/>
      <c r="G402" s="529"/>
      <c r="H402" s="530"/>
      <c r="I402" s="531"/>
      <c r="J402" s="131" t="s">
        <v>33</v>
      </c>
      <c r="K402" s="132"/>
      <c r="L402" s="90" t="s">
        <v>28</v>
      </c>
      <c r="M402" s="91">
        <v>579</v>
      </c>
    </row>
    <row r="403" spans="1:13" s="152" customFormat="1" ht="23.25" thickBot="1">
      <c r="A403" s="522"/>
      <c r="B403" s="112" t="s">
        <v>1044</v>
      </c>
      <c r="C403" s="114" t="s">
        <v>1043</v>
      </c>
      <c r="D403" s="144">
        <v>43371</v>
      </c>
      <c r="E403" s="135" t="s">
        <v>36</v>
      </c>
      <c r="F403" s="136" t="s">
        <v>1045</v>
      </c>
      <c r="G403" s="539"/>
      <c r="H403" s="540"/>
      <c r="I403" s="541"/>
      <c r="J403" s="131" t="s">
        <v>38</v>
      </c>
      <c r="K403" s="132"/>
      <c r="L403" s="90" t="s">
        <v>28</v>
      </c>
      <c r="M403" s="91">
        <v>45</v>
      </c>
    </row>
    <row r="404" spans="1:13" s="152" customFormat="1" ht="24" customHeight="1" thickTop="1" thickBot="1">
      <c r="A404" s="518">
        <f>A403+191</f>
        <v>191</v>
      </c>
      <c r="B404" s="150" t="s">
        <v>19</v>
      </c>
      <c r="C404" s="150" t="s">
        <v>20</v>
      </c>
      <c r="D404" s="150" t="s">
        <v>21</v>
      </c>
      <c r="E404" s="523" t="s">
        <v>22</v>
      </c>
      <c r="F404" s="523"/>
      <c r="G404" s="565" t="s">
        <v>12</v>
      </c>
      <c r="H404" s="566"/>
      <c r="I404" s="567"/>
      <c r="J404" s="126" t="s">
        <v>39</v>
      </c>
      <c r="K404" s="127"/>
      <c r="L404" s="127"/>
      <c r="M404" s="137"/>
    </row>
    <row r="405" spans="1:13" s="152" customFormat="1" ht="15.75" thickBot="1">
      <c r="A405" s="521"/>
      <c r="B405" s="128" t="s">
        <v>1046</v>
      </c>
      <c r="C405" s="128" t="s">
        <v>138</v>
      </c>
      <c r="D405" s="129">
        <v>43313</v>
      </c>
      <c r="E405" s="128"/>
      <c r="F405" s="128" t="s">
        <v>139</v>
      </c>
      <c r="G405" s="524" t="s">
        <v>140</v>
      </c>
      <c r="H405" s="585"/>
      <c r="I405" s="586"/>
      <c r="J405" s="130" t="s">
        <v>141</v>
      </c>
      <c r="K405" s="130"/>
      <c r="L405" s="87" t="s">
        <v>28</v>
      </c>
      <c r="M405" s="88">
        <v>6000</v>
      </c>
    </row>
    <row r="406" spans="1:13" s="152" customFormat="1" ht="23.25" thickBot="1">
      <c r="A406" s="521"/>
      <c r="B406" s="153" t="s">
        <v>29</v>
      </c>
      <c r="C406" s="153" t="s">
        <v>30</v>
      </c>
      <c r="D406" s="153" t="s">
        <v>31</v>
      </c>
      <c r="E406" s="580" t="s">
        <v>32</v>
      </c>
      <c r="F406" s="581"/>
      <c r="G406" s="529"/>
      <c r="H406" s="530"/>
      <c r="I406" s="531"/>
      <c r="J406" s="131" t="s">
        <v>40</v>
      </c>
      <c r="K406" s="132"/>
      <c r="L406" s="132"/>
      <c r="M406" s="138"/>
    </row>
    <row r="407" spans="1:13" s="152" customFormat="1" ht="15.75" thickBot="1">
      <c r="A407" s="522"/>
      <c r="B407" s="134" t="s">
        <v>1047</v>
      </c>
      <c r="C407" s="133" t="s">
        <v>140</v>
      </c>
      <c r="D407" s="144">
        <v>43315</v>
      </c>
      <c r="E407" s="135" t="s">
        <v>36</v>
      </c>
      <c r="F407" s="12" t="s">
        <v>1048</v>
      </c>
      <c r="G407" s="582"/>
      <c r="H407" s="583"/>
      <c r="I407" s="584"/>
      <c r="J407" s="131" t="s">
        <v>41</v>
      </c>
      <c r="K407" s="132"/>
      <c r="L407" s="132"/>
      <c r="M407" s="138"/>
    </row>
    <row r="408" spans="1:13" s="152" customFormat="1" ht="24" customHeight="1" thickTop="1" thickBot="1">
      <c r="A408" s="518">
        <f>A407+192</f>
        <v>192</v>
      </c>
      <c r="B408" s="150" t="s">
        <v>19</v>
      </c>
      <c r="C408" s="150" t="s">
        <v>20</v>
      </c>
      <c r="D408" s="150" t="s">
        <v>21</v>
      </c>
      <c r="E408" s="528" t="s">
        <v>22</v>
      </c>
      <c r="F408" s="579"/>
      <c r="G408" s="528" t="s">
        <v>12</v>
      </c>
      <c r="H408" s="593"/>
      <c r="I408" s="164"/>
      <c r="J408" s="126" t="s">
        <v>39</v>
      </c>
      <c r="K408" s="127"/>
      <c r="L408" s="127"/>
      <c r="M408" s="137"/>
    </row>
    <row r="409" spans="1:13" s="152" customFormat="1" ht="15.75" thickBot="1">
      <c r="A409" s="521"/>
      <c r="B409" s="128" t="s">
        <v>1049</v>
      </c>
      <c r="C409" s="128" t="s">
        <v>138</v>
      </c>
      <c r="D409" s="129">
        <v>43313</v>
      </c>
      <c r="E409" s="128"/>
      <c r="F409" s="128" t="s">
        <v>139</v>
      </c>
      <c r="G409" s="524" t="s">
        <v>140</v>
      </c>
      <c r="H409" s="585"/>
      <c r="I409" s="586"/>
      <c r="J409" s="130" t="s">
        <v>141</v>
      </c>
      <c r="K409" s="130"/>
      <c r="L409" s="87" t="s">
        <v>28</v>
      </c>
      <c r="M409" s="88">
        <v>6000</v>
      </c>
    </row>
    <row r="410" spans="1:13" s="152" customFormat="1" ht="23.25" thickBot="1">
      <c r="A410" s="521"/>
      <c r="B410" s="153" t="s">
        <v>29</v>
      </c>
      <c r="C410" s="153" t="s">
        <v>30</v>
      </c>
      <c r="D410" s="153" t="s">
        <v>31</v>
      </c>
      <c r="E410" s="580" t="s">
        <v>32</v>
      </c>
      <c r="F410" s="581"/>
      <c r="G410" s="529"/>
      <c r="H410" s="530"/>
      <c r="I410" s="531"/>
      <c r="J410" s="131" t="s">
        <v>40</v>
      </c>
      <c r="K410" s="132"/>
      <c r="L410" s="132"/>
      <c r="M410" s="139"/>
    </row>
    <row r="411" spans="1:13" s="152" customFormat="1" ht="15.75" thickBot="1">
      <c r="A411" s="522"/>
      <c r="B411" s="134" t="s">
        <v>1050</v>
      </c>
      <c r="C411" s="144" t="s">
        <v>140</v>
      </c>
      <c r="D411" s="144">
        <v>43315</v>
      </c>
      <c r="E411" s="144"/>
      <c r="F411" s="144" t="s">
        <v>1048</v>
      </c>
      <c r="G411" s="539"/>
      <c r="H411" s="540"/>
      <c r="I411" s="541"/>
      <c r="J411" s="141" t="s">
        <v>41</v>
      </c>
      <c r="K411" s="142"/>
      <c r="L411" s="142"/>
      <c r="M411" s="143"/>
    </row>
    <row r="412" spans="1:13" s="152" customFormat="1" ht="24" customHeight="1" thickTop="1" thickBot="1">
      <c r="A412" s="518">
        <f>A411+193</f>
        <v>193</v>
      </c>
      <c r="B412" s="150" t="s">
        <v>19</v>
      </c>
      <c r="C412" s="150" t="s">
        <v>20</v>
      </c>
      <c r="D412" s="150" t="s">
        <v>21</v>
      </c>
      <c r="E412" s="528" t="s">
        <v>22</v>
      </c>
      <c r="F412" s="579"/>
      <c r="G412" s="528" t="s">
        <v>12</v>
      </c>
      <c r="H412" s="593"/>
      <c r="I412" s="164"/>
      <c r="J412" s="126" t="s">
        <v>39</v>
      </c>
      <c r="K412" s="127"/>
      <c r="L412" s="127"/>
      <c r="M412" s="137"/>
    </row>
    <row r="413" spans="1:13" s="152" customFormat="1" ht="15.75" thickBot="1">
      <c r="A413" s="521"/>
      <c r="B413" s="128" t="s">
        <v>142</v>
      </c>
      <c r="C413" s="128" t="s">
        <v>138</v>
      </c>
      <c r="D413" s="129">
        <v>43297</v>
      </c>
      <c r="E413" s="128"/>
      <c r="F413" s="128" t="s">
        <v>139</v>
      </c>
      <c r="G413" s="524" t="s">
        <v>140</v>
      </c>
      <c r="H413" s="585"/>
      <c r="I413" s="586"/>
      <c r="J413" s="130" t="s">
        <v>141</v>
      </c>
      <c r="K413" s="130"/>
      <c r="L413" s="87" t="s">
        <v>28</v>
      </c>
      <c r="M413" s="88">
        <v>6000</v>
      </c>
    </row>
    <row r="414" spans="1:13" s="152" customFormat="1" ht="23.25" thickBot="1">
      <c r="A414" s="521"/>
      <c r="B414" s="153" t="s">
        <v>29</v>
      </c>
      <c r="C414" s="153" t="s">
        <v>30</v>
      </c>
      <c r="D414" s="153" t="s">
        <v>31</v>
      </c>
      <c r="E414" s="580" t="s">
        <v>32</v>
      </c>
      <c r="F414" s="581"/>
      <c r="G414" s="529"/>
      <c r="H414" s="530"/>
      <c r="I414" s="531"/>
      <c r="J414" s="131" t="s">
        <v>40</v>
      </c>
      <c r="K414" s="132"/>
      <c r="L414" s="132"/>
      <c r="M414" s="139"/>
    </row>
    <row r="415" spans="1:13" s="152" customFormat="1" ht="15.75" thickBot="1">
      <c r="A415" s="522"/>
      <c r="B415" s="134" t="s">
        <v>1050</v>
      </c>
      <c r="C415" s="144" t="s">
        <v>140</v>
      </c>
      <c r="D415" s="144">
        <v>43301</v>
      </c>
      <c r="E415" s="144"/>
      <c r="F415" s="144" t="s">
        <v>1051</v>
      </c>
      <c r="G415" s="539"/>
      <c r="H415" s="540"/>
      <c r="I415" s="541"/>
      <c r="J415" s="141" t="s">
        <v>41</v>
      </c>
      <c r="K415" s="142"/>
      <c r="L415" s="142"/>
      <c r="M415" s="143"/>
    </row>
    <row r="416" spans="1:13" s="152" customFormat="1" ht="24" customHeight="1" thickTop="1" thickBot="1">
      <c r="A416" s="518">
        <f>A415+194</f>
        <v>194</v>
      </c>
      <c r="B416" s="150" t="s">
        <v>19</v>
      </c>
      <c r="C416" s="150" t="s">
        <v>20</v>
      </c>
      <c r="D416" s="150" t="s">
        <v>21</v>
      </c>
      <c r="E416" s="528" t="s">
        <v>22</v>
      </c>
      <c r="F416" s="579"/>
      <c r="G416" s="528" t="s">
        <v>12</v>
      </c>
      <c r="H416" s="593"/>
      <c r="I416" s="164"/>
      <c r="J416" s="126" t="s">
        <v>39</v>
      </c>
      <c r="K416" s="127"/>
      <c r="L416" s="127"/>
      <c r="M416" s="137"/>
    </row>
    <row r="417" spans="1:13" s="152" customFormat="1" ht="34.5" thickBot="1">
      <c r="A417" s="521"/>
      <c r="B417" s="128" t="s">
        <v>1052</v>
      </c>
      <c r="C417" s="128" t="s">
        <v>1053</v>
      </c>
      <c r="D417" s="129">
        <v>43207</v>
      </c>
      <c r="E417" s="128"/>
      <c r="F417" s="128" t="s">
        <v>1054</v>
      </c>
      <c r="G417" s="524" t="s">
        <v>1055</v>
      </c>
      <c r="H417" s="585"/>
      <c r="I417" s="586"/>
      <c r="J417" s="13" t="s">
        <v>1056</v>
      </c>
      <c r="K417" s="14"/>
      <c r="L417" s="15" t="s">
        <v>28</v>
      </c>
      <c r="M417" s="31">
        <v>30</v>
      </c>
    </row>
    <row r="418" spans="1:13" s="152" customFormat="1" ht="23.25" thickBot="1">
      <c r="A418" s="521"/>
      <c r="B418" s="153" t="s">
        <v>29</v>
      </c>
      <c r="C418" s="153" t="s">
        <v>30</v>
      </c>
      <c r="D418" s="153" t="s">
        <v>31</v>
      </c>
      <c r="E418" s="580" t="s">
        <v>32</v>
      </c>
      <c r="F418" s="581"/>
      <c r="G418" s="529"/>
      <c r="H418" s="530"/>
      <c r="I418" s="531"/>
      <c r="J418" s="16" t="s">
        <v>33</v>
      </c>
      <c r="K418" s="15"/>
      <c r="L418" s="17" t="s">
        <v>28</v>
      </c>
      <c r="M418" s="32">
        <v>340</v>
      </c>
    </row>
    <row r="419" spans="1:13" s="152" customFormat="1" ht="15.75" thickBot="1">
      <c r="A419" s="522"/>
      <c r="B419" s="134" t="s">
        <v>1050</v>
      </c>
      <c r="C419" s="144" t="s">
        <v>140</v>
      </c>
      <c r="D419" s="144">
        <v>43301</v>
      </c>
      <c r="E419" s="144"/>
      <c r="F419" s="144" t="s">
        <v>1051</v>
      </c>
      <c r="G419" s="539"/>
      <c r="H419" s="540"/>
      <c r="I419" s="541"/>
      <c r="J419" s="20" t="s">
        <v>38</v>
      </c>
      <c r="K419" s="21"/>
      <c r="L419" s="21" t="s">
        <v>28</v>
      </c>
      <c r="M419" s="27">
        <v>133</v>
      </c>
    </row>
    <row r="420" spans="1:13" s="152" customFormat="1" ht="24" customHeight="1" thickTop="1" thickBot="1">
      <c r="A420" s="518">
        <f>A419+195</f>
        <v>195</v>
      </c>
      <c r="B420" s="150" t="s">
        <v>19</v>
      </c>
      <c r="C420" s="150" t="s">
        <v>20</v>
      </c>
      <c r="D420" s="150" t="s">
        <v>21</v>
      </c>
      <c r="E420" s="523" t="s">
        <v>22</v>
      </c>
      <c r="F420" s="523"/>
      <c r="G420" s="565" t="s">
        <v>12</v>
      </c>
      <c r="H420" s="566"/>
      <c r="I420" s="567"/>
      <c r="J420" s="126" t="s">
        <v>39</v>
      </c>
      <c r="K420" s="127"/>
      <c r="L420" s="127"/>
      <c r="M420" s="137"/>
    </row>
    <row r="421" spans="1:13" s="152" customFormat="1" ht="23.25" thickBot="1">
      <c r="A421" s="521"/>
      <c r="B421" s="128" t="s">
        <v>1057</v>
      </c>
      <c r="C421" s="128" t="s">
        <v>1058</v>
      </c>
      <c r="D421" s="129">
        <v>43356</v>
      </c>
      <c r="E421" s="128"/>
      <c r="F421" s="128" t="s">
        <v>137</v>
      </c>
      <c r="G421" s="524" t="s">
        <v>1059</v>
      </c>
      <c r="H421" s="585"/>
      <c r="I421" s="586"/>
      <c r="J421" s="130" t="s">
        <v>123</v>
      </c>
      <c r="K421" s="130"/>
      <c r="L421" s="130" t="s">
        <v>28</v>
      </c>
      <c r="M421" s="65">
        <v>199</v>
      </c>
    </row>
    <row r="422" spans="1:13" s="152" customFormat="1" ht="23.25" thickBot="1">
      <c r="A422" s="521"/>
      <c r="B422" s="153" t="s">
        <v>29</v>
      </c>
      <c r="C422" s="153" t="s">
        <v>30</v>
      </c>
      <c r="D422" s="153" t="s">
        <v>31</v>
      </c>
      <c r="E422" s="580" t="s">
        <v>32</v>
      </c>
      <c r="F422" s="581"/>
      <c r="G422" s="529"/>
      <c r="H422" s="530"/>
      <c r="I422" s="531"/>
      <c r="J422" s="131" t="s">
        <v>40</v>
      </c>
      <c r="K422" s="132"/>
      <c r="L422" s="132"/>
      <c r="M422" s="138"/>
    </row>
    <row r="423" spans="1:13" s="152" customFormat="1" ht="45.75" thickBot="1">
      <c r="A423" s="522"/>
      <c r="B423" s="133" t="s">
        <v>1060</v>
      </c>
      <c r="C423" s="133" t="s">
        <v>1059</v>
      </c>
      <c r="D423" s="144">
        <v>43357</v>
      </c>
      <c r="E423" s="135" t="s">
        <v>36</v>
      </c>
      <c r="F423" s="136" t="s">
        <v>1061</v>
      </c>
      <c r="G423" s="582"/>
      <c r="H423" s="583"/>
      <c r="I423" s="584"/>
      <c r="J423" s="131" t="s">
        <v>41</v>
      </c>
      <c r="K423" s="132"/>
      <c r="L423" s="132"/>
      <c r="M423" s="138"/>
    </row>
    <row r="424" spans="1:13" s="152" customFormat="1" ht="24" customHeight="1" thickTop="1" thickBot="1">
      <c r="A424" s="518">
        <f>A423+196</f>
        <v>196</v>
      </c>
      <c r="B424" s="150" t="s">
        <v>19</v>
      </c>
      <c r="C424" s="150" t="s">
        <v>20</v>
      </c>
      <c r="D424" s="150" t="s">
        <v>21</v>
      </c>
      <c r="E424" s="523" t="s">
        <v>22</v>
      </c>
      <c r="F424" s="523"/>
      <c r="G424" s="565" t="s">
        <v>12</v>
      </c>
      <c r="H424" s="566"/>
      <c r="I424" s="567"/>
      <c r="J424" s="126" t="s">
        <v>39</v>
      </c>
      <c r="K424" s="127"/>
      <c r="L424" s="127"/>
      <c r="M424" s="137"/>
    </row>
    <row r="425" spans="1:13" s="152" customFormat="1" ht="23.25" thickBot="1">
      <c r="A425" s="521"/>
      <c r="B425" s="128" t="s">
        <v>1062</v>
      </c>
      <c r="C425" s="128" t="s">
        <v>1063</v>
      </c>
      <c r="D425" s="129">
        <v>43257</v>
      </c>
      <c r="E425" s="128"/>
      <c r="F425" s="128" t="s">
        <v>143</v>
      </c>
      <c r="G425" s="524" t="s">
        <v>567</v>
      </c>
      <c r="H425" s="585"/>
      <c r="I425" s="586"/>
      <c r="J425" s="130" t="s">
        <v>141</v>
      </c>
      <c r="K425" s="130"/>
      <c r="L425" s="130"/>
      <c r="M425" s="65">
        <v>6000</v>
      </c>
    </row>
    <row r="426" spans="1:13" s="152" customFormat="1" ht="23.25" thickBot="1">
      <c r="A426" s="521"/>
      <c r="B426" s="153" t="s">
        <v>29</v>
      </c>
      <c r="C426" s="153" t="s">
        <v>30</v>
      </c>
      <c r="D426" s="153" t="s">
        <v>31</v>
      </c>
      <c r="E426" s="580" t="s">
        <v>32</v>
      </c>
      <c r="F426" s="581"/>
      <c r="G426" s="529"/>
      <c r="H426" s="530"/>
      <c r="I426" s="531"/>
      <c r="J426" s="131" t="s">
        <v>40</v>
      </c>
      <c r="K426" s="132"/>
      <c r="L426" s="132"/>
      <c r="M426" s="138"/>
    </row>
    <row r="427" spans="1:13" s="152" customFormat="1" ht="34.5" thickBot="1">
      <c r="A427" s="522"/>
      <c r="B427" s="133" t="s">
        <v>1064</v>
      </c>
      <c r="C427" s="133" t="s">
        <v>567</v>
      </c>
      <c r="D427" s="144">
        <v>43259</v>
      </c>
      <c r="E427" s="135" t="s">
        <v>36</v>
      </c>
      <c r="F427" s="136" t="s">
        <v>1065</v>
      </c>
      <c r="G427" s="582"/>
      <c r="H427" s="583"/>
      <c r="I427" s="584"/>
      <c r="J427" s="131" t="s">
        <v>41</v>
      </c>
      <c r="K427" s="132"/>
      <c r="L427" s="132"/>
      <c r="M427" s="138"/>
    </row>
    <row r="428" spans="1:13" s="152" customFormat="1" ht="24" customHeight="1" thickTop="1" thickBot="1">
      <c r="A428" s="518">
        <f>A427+197</f>
        <v>197</v>
      </c>
      <c r="B428" s="150" t="s">
        <v>19</v>
      </c>
      <c r="C428" s="150" t="s">
        <v>20</v>
      </c>
      <c r="D428" s="150" t="s">
        <v>21</v>
      </c>
      <c r="E428" s="523" t="s">
        <v>22</v>
      </c>
      <c r="F428" s="523"/>
      <c r="G428" s="565" t="s">
        <v>12</v>
      </c>
      <c r="H428" s="566"/>
      <c r="I428" s="567"/>
      <c r="J428" s="126" t="s">
        <v>39</v>
      </c>
      <c r="K428" s="127"/>
      <c r="L428" s="127"/>
      <c r="M428" s="137"/>
    </row>
    <row r="429" spans="1:13" s="152" customFormat="1" ht="57" thickBot="1">
      <c r="A429" s="521"/>
      <c r="B429" s="128" t="s">
        <v>1066</v>
      </c>
      <c r="C429" s="393" t="s">
        <v>1067</v>
      </c>
      <c r="D429" s="129">
        <v>43354</v>
      </c>
      <c r="E429" s="128"/>
      <c r="F429" s="128" t="s">
        <v>1068</v>
      </c>
      <c r="G429" s="607" t="s">
        <v>1069</v>
      </c>
      <c r="H429" s="608"/>
      <c r="I429" s="609"/>
      <c r="J429" s="130" t="s">
        <v>269</v>
      </c>
      <c r="K429" s="130"/>
      <c r="L429" s="130" t="s">
        <v>42</v>
      </c>
      <c r="M429" s="65">
        <v>925</v>
      </c>
    </row>
    <row r="430" spans="1:13" s="152" customFormat="1" ht="23.25" thickBot="1">
      <c r="A430" s="521"/>
      <c r="B430" s="153" t="s">
        <v>29</v>
      </c>
      <c r="C430" s="153" t="s">
        <v>30</v>
      </c>
      <c r="D430" s="153" t="s">
        <v>31</v>
      </c>
      <c r="E430" s="580" t="s">
        <v>32</v>
      </c>
      <c r="F430" s="581"/>
      <c r="G430" s="529"/>
      <c r="H430" s="530"/>
      <c r="I430" s="531"/>
      <c r="J430" s="131" t="s">
        <v>40</v>
      </c>
      <c r="K430" s="132"/>
      <c r="L430" s="132"/>
      <c r="M430" s="138"/>
    </row>
    <row r="431" spans="1:13" s="152" customFormat="1" ht="23.25" thickBot="1">
      <c r="A431" s="522"/>
      <c r="B431" s="133" t="s">
        <v>1070</v>
      </c>
      <c r="C431" s="133" t="s">
        <v>1071</v>
      </c>
      <c r="D431" s="144">
        <v>43357</v>
      </c>
      <c r="E431" s="135" t="s">
        <v>36</v>
      </c>
      <c r="F431" s="136" t="s">
        <v>1072</v>
      </c>
      <c r="G431" s="582"/>
      <c r="H431" s="583"/>
      <c r="I431" s="584"/>
      <c r="J431" s="131" t="s">
        <v>41</v>
      </c>
      <c r="K431" s="132"/>
      <c r="L431" s="132"/>
      <c r="M431" s="138"/>
    </row>
    <row r="432" spans="1:13" s="152" customFormat="1" ht="24" customHeight="1" thickTop="1" thickBot="1">
      <c r="A432" s="518">
        <f>A431+198</f>
        <v>198</v>
      </c>
      <c r="B432" s="150" t="s">
        <v>19</v>
      </c>
      <c r="C432" s="150" t="s">
        <v>20</v>
      </c>
      <c r="D432" s="150" t="s">
        <v>21</v>
      </c>
      <c r="E432" s="528" t="s">
        <v>22</v>
      </c>
      <c r="F432" s="579"/>
      <c r="G432" s="528" t="s">
        <v>12</v>
      </c>
      <c r="H432" s="593"/>
      <c r="I432" s="164"/>
      <c r="J432" s="126" t="s">
        <v>39</v>
      </c>
      <c r="K432" s="127"/>
      <c r="L432" s="127"/>
      <c r="M432" s="137"/>
    </row>
    <row r="433" spans="1:13" s="152" customFormat="1" ht="57" thickBot="1">
      <c r="A433" s="521"/>
      <c r="B433" s="128" t="s">
        <v>1073</v>
      </c>
      <c r="C433" s="9" t="s">
        <v>1074</v>
      </c>
      <c r="D433" s="129">
        <v>43354</v>
      </c>
      <c r="E433" s="128"/>
      <c r="F433" s="128" t="s">
        <v>1068</v>
      </c>
      <c r="G433" s="607" t="s">
        <v>1069</v>
      </c>
      <c r="H433" s="608"/>
      <c r="I433" s="609"/>
      <c r="J433" s="130" t="s">
        <v>269</v>
      </c>
      <c r="K433" s="130"/>
      <c r="L433" s="130" t="s">
        <v>42</v>
      </c>
      <c r="M433" s="81">
        <v>775</v>
      </c>
    </row>
    <row r="434" spans="1:13" s="152" customFormat="1" ht="23.25" thickBot="1">
      <c r="A434" s="521"/>
      <c r="B434" s="153" t="s">
        <v>29</v>
      </c>
      <c r="C434" s="153" t="s">
        <v>30</v>
      </c>
      <c r="D434" s="153" t="s">
        <v>31</v>
      </c>
      <c r="E434" s="580" t="s">
        <v>32</v>
      </c>
      <c r="F434" s="581"/>
      <c r="G434" s="529"/>
      <c r="H434" s="530"/>
      <c r="I434" s="531"/>
      <c r="J434" s="131" t="s">
        <v>40</v>
      </c>
      <c r="K434" s="132"/>
      <c r="L434" s="132"/>
      <c r="M434" s="139"/>
    </row>
    <row r="435" spans="1:13" s="152" customFormat="1" ht="23.25" thickBot="1">
      <c r="A435" s="522"/>
      <c r="B435" s="134" t="s">
        <v>1075</v>
      </c>
      <c r="C435" s="134"/>
      <c r="D435" s="144">
        <v>43357</v>
      </c>
      <c r="E435" s="135" t="s">
        <v>36</v>
      </c>
      <c r="F435" s="140" t="s">
        <v>1076</v>
      </c>
      <c r="G435" s="539"/>
      <c r="H435" s="540"/>
      <c r="I435" s="541"/>
      <c r="J435" s="141" t="s">
        <v>41</v>
      </c>
      <c r="K435" s="142"/>
      <c r="L435" s="142"/>
      <c r="M435" s="143"/>
    </row>
    <row r="436" spans="1:13" s="152" customFormat="1" ht="24" customHeight="1" thickTop="1" thickBot="1">
      <c r="A436" s="518">
        <f>A435+199</f>
        <v>199</v>
      </c>
      <c r="B436" s="150" t="s">
        <v>19</v>
      </c>
      <c r="C436" s="150" t="s">
        <v>20</v>
      </c>
      <c r="D436" s="150" t="s">
        <v>21</v>
      </c>
      <c r="E436" s="523" t="s">
        <v>22</v>
      </c>
      <c r="F436" s="523"/>
      <c r="G436" s="565" t="s">
        <v>12</v>
      </c>
      <c r="H436" s="566"/>
      <c r="I436" s="567"/>
      <c r="J436" s="126" t="s">
        <v>39</v>
      </c>
      <c r="K436" s="127"/>
      <c r="L436" s="127"/>
      <c r="M436" s="137"/>
    </row>
    <row r="437" spans="1:13" s="152" customFormat="1" ht="45.75" thickBot="1">
      <c r="A437" s="521"/>
      <c r="B437" s="128" t="s">
        <v>254</v>
      </c>
      <c r="C437" s="128" t="s">
        <v>1077</v>
      </c>
      <c r="D437" s="129">
        <v>43250</v>
      </c>
      <c r="E437" s="128"/>
      <c r="F437" s="128" t="s">
        <v>122</v>
      </c>
      <c r="G437" s="524" t="s">
        <v>255</v>
      </c>
      <c r="H437" s="585"/>
      <c r="I437" s="586"/>
      <c r="J437" s="130" t="s">
        <v>1078</v>
      </c>
      <c r="K437" s="130" t="s">
        <v>28</v>
      </c>
      <c r="L437" s="130"/>
      <c r="M437" s="65">
        <v>595</v>
      </c>
    </row>
    <row r="438" spans="1:13" s="152" customFormat="1" ht="68.25" thickBot="1">
      <c r="A438" s="521"/>
      <c r="B438" s="153" t="s">
        <v>29</v>
      </c>
      <c r="C438" s="153" t="s">
        <v>30</v>
      </c>
      <c r="D438" s="153" t="s">
        <v>31</v>
      </c>
      <c r="E438" s="580" t="s">
        <v>32</v>
      </c>
      <c r="F438" s="581"/>
      <c r="G438" s="529"/>
      <c r="H438" s="530"/>
      <c r="I438" s="531"/>
      <c r="J438" s="131" t="s">
        <v>1079</v>
      </c>
      <c r="K438" s="132"/>
      <c r="L438" s="132"/>
      <c r="M438" s="80">
        <v>0</v>
      </c>
    </row>
    <row r="439" spans="1:13" s="152" customFormat="1" ht="23.25" thickBot="1">
      <c r="A439" s="522"/>
      <c r="B439" s="133" t="s">
        <v>164</v>
      </c>
      <c r="C439" s="133" t="s">
        <v>255</v>
      </c>
      <c r="D439" s="144">
        <v>43252</v>
      </c>
      <c r="E439" s="135" t="s">
        <v>36</v>
      </c>
      <c r="F439" s="136" t="s">
        <v>1080</v>
      </c>
      <c r="G439" s="582"/>
      <c r="H439" s="583"/>
      <c r="I439" s="584"/>
      <c r="J439" s="131"/>
      <c r="K439" s="132"/>
      <c r="L439" s="132"/>
      <c r="M439" s="138"/>
    </row>
    <row r="440" spans="1:13" s="152" customFormat="1" ht="24" customHeight="1" thickTop="1" thickBot="1">
      <c r="A440" s="518">
        <f>A439+200</f>
        <v>200</v>
      </c>
      <c r="B440" s="111" t="s">
        <v>19</v>
      </c>
      <c r="C440" s="111" t="s">
        <v>20</v>
      </c>
      <c r="D440" s="111" t="s">
        <v>21</v>
      </c>
      <c r="E440" s="811" t="s">
        <v>22</v>
      </c>
      <c r="F440" s="811"/>
      <c r="G440" s="565" t="s">
        <v>12</v>
      </c>
      <c r="H440" s="566"/>
      <c r="I440" s="567"/>
      <c r="J440" s="175" t="s">
        <v>39</v>
      </c>
      <c r="K440" s="99"/>
      <c r="L440" s="99"/>
      <c r="M440" s="394"/>
    </row>
    <row r="441" spans="1:13" s="152" customFormat="1" ht="34.5" thickBot="1">
      <c r="A441" s="521"/>
      <c r="B441" s="89" t="s">
        <v>167</v>
      </c>
      <c r="C441" s="89" t="s">
        <v>1081</v>
      </c>
      <c r="D441" s="129">
        <v>43200</v>
      </c>
      <c r="E441" s="89"/>
      <c r="F441" s="89" t="s">
        <v>144</v>
      </c>
      <c r="G441" s="524" t="s">
        <v>156</v>
      </c>
      <c r="H441" s="585"/>
      <c r="I441" s="586"/>
      <c r="J441" s="179" t="s">
        <v>163</v>
      </c>
      <c r="K441" s="87"/>
      <c r="L441" s="87" t="s">
        <v>42</v>
      </c>
      <c r="M441" s="395">
        <v>753</v>
      </c>
    </row>
    <row r="442" spans="1:13" s="152" customFormat="1" ht="23.25" thickBot="1">
      <c r="A442" s="521"/>
      <c r="B442" s="181" t="s">
        <v>29</v>
      </c>
      <c r="C442" s="181" t="s">
        <v>30</v>
      </c>
      <c r="D442" s="181" t="s">
        <v>31</v>
      </c>
      <c r="E442" s="605" t="s">
        <v>32</v>
      </c>
      <c r="F442" s="606"/>
      <c r="G442" s="529"/>
      <c r="H442" s="530"/>
      <c r="I442" s="531"/>
      <c r="J442" s="182" t="s">
        <v>98</v>
      </c>
      <c r="K442" s="90"/>
      <c r="L442" s="90" t="s">
        <v>42</v>
      </c>
      <c r="M442" s="396">
        <v>58.94</v>
      </c>
    </row>
    <row r="443" spans="1:13" s="152" customFormat="1" ht="34.5" thickBot="1">
      <c r="A443" s="522"/>
      <c r="B443" s="232" t="s">
        <v>1082</v>
      </c>
      <c r="C443" s="232" t="s">
        <v>1083</v>
      </c>
      <c r="D443" s="195">
        <v>43201</v>
      </c>
      <c r="E443" s="233" t="s">
        <v>36</v>
      </c>
      <c r="F443" s="432" t="s">
        <v>1084</v>
      </c>
      <c r="G443" s="582"/>
      <c r="H443" s="583"/>
      <c r="I443" s="584"/>
      <c r="J443" s="399" t="s">
        <v>108</v>
      </c>
      <c r="K443" s="110"/>
      <c r="L443" s="110" t="s">
        <v>42</v>
      </c>
      <c r="M443" s="433">
        <v>282.94</v>
      </c>
    </row>
    <row r="444" spans="1:13" ht="15.75" thickTop="1"/>
    <row r="448" spans="1:13" ht="15.75" thickBot="1"/>
    <row r="449" spans="12:13">
      <c r="L449" s="446" t="s">
        <v>1500</v>
      </c>
      <c r="M449" s="451"/>
    </row>
    <row r="450" spans="12:13">
      <c r="L450" s="449"/>
      <c r="M450" s="452"/>
    </row>
    <row r="451" spans="12:13" ht="60">
      <c r="L451" s="447" t="b">
        <v>0</v>
      </c>
      <c r="M451" s="453" t="s">
        <v>1501</v>
      </c>
    </row>
    <row r="452" spans="12:13" ht="45">
      <c r="L452" s="447" t="b">
        <v>1</v>
      </c>
      <c r="M452" s="453" t="s">
        <v>1502</v>
      </c>
    </row>
    <row r="453" spans="12:13">
      <c r="L453" s="447" t="b">
        <v>0</v>
      </c>
      <c r="M453" s="452"/>
    </row>
    <row r="454" spans="12:13" ht="15.75" thickBot="1">
      <c r="L454" s="448">
        <v>1</v>
      </c>
      <c r="M454" s="450"/>
    </row>
  </sheetData>
  <mergeCells count="730">
    <mergeCell ref="A436:A439"/>
    <mergeCell ref="E436:F436"/>
    <mergeCell ref="G436:I436"/>
    <mergeCell ref="G437:I437"/>
    <mergeCell ref="E438:F438"/>
    <mergeCell ref="G438:I439"/>
    <mergeCell ref="A440:A443"/>
    <mergeCell ref="E440:F440"/>
    <mergeCell ref="G440:I440"/>
    <mergeCell ref="G441:I441"/>
    <mergeCell ref="E442:F442"/>
    <mergeCell ref="G442:I443"/>
    <mergeCell ref="A428:A431"/>
    <mergeCell ref="E428:F428"/>
    <mergeCell ref="G428:I428"/>
    <mergeCell ref="G429:I429"/>
    <mergeCell ref="E430:F430"/>
    <mergeCell ref="G430:I431"/>
    <mergeCell ref="A432:A435"/>
    <mergeCell ref="E432:F432"/>
    <mergeCell ref="G432:H432"/>
    <mergeCell ref="G433:I433"/>
    <mergeCell ref="E434:F434"/>
    <mergeCell ref="G434:I434"/>
    <mergeCell ref="G435:I435"/>
    <mergeCell ref="A420:A423"/>
    <mergeCell ref="E420:F420"/>
    <mergeCell ref="G420:I420"/>
    <mergeCell ref="G421:I421"/>
    <mergeCell ref="E422:F422"/>
    <mergeCell ref="G422:I423"/>
    <mergeCell ref="A424:A427"/>
    <mergeCell ref="E424:F424"/>
    <mergeCell ref="G424:I424"/>
    <mergeCell ref="G425:I425"/>
    <mergeCell ref="E426:F426"/>
    <mergeCell ref="G426:I427"/>
    <mergeCell ref="A412:A415"/>
    <mergeCell ref="G412:H412"/>
    <mergeCell ref="G413:I413"/>
    <mergeCell ref="G414:I414"/>
    <mergeCell ref="A416:A419"/>
    <mergeCell ref="G416:H416"/>
    <mergeCell ref="E418:F418"/>
    <mergeCell ref="G418:I418"/>
    <mergeCell ref="G419:I419"/>
    <mergeCell ref="G415:I415"/>
    <mergeCell ref="E416:F416"/>
    <mergeCell ref="G417:I417"/>
    <mergeCell ref="E412:F412"/>
    <mergeCell ref="E414:F414"/>
    <mergeCell ref="A145:A148"/>
    <mergeCell ref="E145:F145"/>
    <mergeCell ref="G145:H145"/>
    <mergeCell ref="G146:I146"/>
    <mergeCell ref="E147:F147"/>
    <mergeCell ref="A149:A152"/>
    <mergeCell ref="E149:F149"/>
    <mergeCell ref="G149:H149"/>
    <mergeCell ref="G150:I150"/>
    <mergeCell ref="E151:F151"/>
    <mergeCell ref="G152:I152"/>
    <mergeCell ref="G151:I151"/>
    <mergeCell ref="G148:I148"/>
    <mergeCell ref="G147:I147"/>
    <mergeCell ref="C44:C45"/>
    <mergeCell ref="D44:D45"/>
    <mergeCell ref="F44:F45"/>
    <mergeCell ref="G44:I45"/>
    <mergeCell ref="G46:I46"/>
    <mergeCell ref="A48:A52"/>
    <mergeCell ref="G48:H48"/>
    <mergeCell ref="G50:I50"/>
    <mergeCell ref="B51:B52"/>
    <mergeCell ref="C51:C52"/>
    <mergeCell ref="D51:D52"/>
    <mergeCell ref="F51:F52"/>
    <mergeCell ref="A43:A47"/>
    <mergeCell ref="E43:F43"/>
    <mergeCell ref="G43:H43"/>
    <mergeCell ref="B44:B45"/>
    <mergeCell ref="E50:F50"/>
    <mergeCell ref="G52:I52"/>
    <mergeCell ref="E46:F46"/>
    <mergeCell ref="G47:I47"/>
    <mergeCell ref="E48:F48"/>
    <mergeCell ref="G49:I49"/>
    <mergeCell ref="J2:M4"/>
    <mergeCell ref="A5:M5"/>
    <mergeCell ref="A6:A13"/>
    <mergeCell ref="B6:J7"/>
    <mergeCell ref="B8:M8"/>
    <mergeCell ref="B9:F9"/>
    <mergeCell ref="G9:G11"/>
    <mergeCell ref="H9:H11"/>
    <mergeCell ref="I9:I11"/>
    <mergeCell ref="J9:J11"/>
    <mergeCell ref="K9:K11"/>
    <mergeCell ref="L9:M11"/>
    <mergeCell ref="B10:F10"/>
    <mergeCell ref="D11:F11"/>
    <mergeCell ref="B12:B13"/>
    <mergeCell ref="C12:C13"/>
    <mergeCell ref="D12:D13"/>
    <mergeCell ref="E12:F13"/>
    <mergeCell ref="G12:I13"/>
    <mergeCell ref="J12:J13"/>
    <mergeCell ref="K12:K13"/>
    <mergeCell ref="L12:L13"/>
    <mergeCell ref="M12:M13"/>
    <mergeCell ref="E14:F14"/>
    <mergeCell ref="G14:H14"/>
    <mergeCell ref="G15:I15"/>
    <mergeCell ref="E16:F16"/>
    <mergeCell ref="G16:I16"/>
    <mergeCell ref="G17:I17"/>
    <mergeCell ref="A14:A17"/>
    <mergeCell ref="A18:A22"/>
    <mergeCell ref="G18:H18"/>
    <mergeCell ref="G20:I20"/>
    <mergeCell ref="B21:B22"/>
    <mergeCell ref="C21:C22"/>
    <mergeCell ref="D21:D22"/>
    <mergeCell ref="F21:F22"/>
    <mergeCell ref="G22:I22"/>
    <mergeCell ref="E18:F18"/>
    <mergeCell ref="G19:I19"/>
    <mergeCell ref="E20:F20"/>
    <mergeCell ref="G27:I27"/>
    <mergeCell ref="E28:F28"/>
    <mergeCell ref="G29:I29"/>
    <mergeCell ref="G24:I24"/>
    <mergeCell ref="G25:I25"/>
    <mergeCell ref="A23:A27"/>
    <mergeCell ref="E23:F23"/>
    <mergeCell ref="G23:H23"/>
    <mergeCell ref="E25:F25"/>
    <mergeCell ref="B26:B27"/>
    <mergeCell ref="C26:C27"/>
    <mergeCell ref="D26:D27"/>
    <mergeCell ref="F26:F27"/>
    <mergeCell ref="A28:A32"/>
    <mergeCell ref="G28:H28"/>
    <mergeCell ref="G35:I35"/>
    <mergeCell ref="G37:I37"/>
    <mergeCell ref="E30:F30"/>
    <mergeCell ref="G32:I32"/>
    <mergeCell ref="G30:I30"/>
    <mergeCell ref="A33:A37"/>
    <mergeCell ref="E33:F33"/>
    <mergeCell ref="G33:H33"/>
    <mergeCell ref="G34:I34"/>
    <mergeCell ref="E35:F35"/>
    <mergeCell ref="B36:B37"/>
    <mergeCell ref="C36:C37"/>
    <mergeCell ref="D36:D37"/>
    <mergeCell ref="F36:F37"/>
    <mergeCell ref="E38:F38"/>
    <mergeCell ref="G38:H38"/>
    <mergeCell ref="G39:I39"/>
    <mergeCell ref="E40:F40"/>
    <mergeCell ref="G40:I40"/>
    <mergeCell ref="A38:A42"/>
    <mergeCell ref="B41:B42"/>
    <mergeCell ref="C41:C42"/>
    <mergeCell ref="D41:D42"/>
    <mergeCell ref="F41:F42"/>
    <mergeCell ref="G42:I42"/>
    <mergeCell ref="E58:F58"/>
    <mergeCell ref="G58:H58"/>
    <mergeCell ref="G59:I59"/>
    <mergeCell ref="E60:F60"/>
    <mergeCell ref="G60:I60"/>
    <mergeCell ref="G55:I55"/>
    <mergeCell ref="G57:I57"/>
    <mergeCell ref="A58:A62"/>
    <mergeCell ref="G62:I62"/>
    <mergeCell ref="A53:A57"/>
    <mergeCell ref="E53:F53"/>
    <mergeCell ref="G53:H53"/>
    <mergeCell ref="G54:I54"/>
    <mergeCell ref="E55:F55"/>
    <mergeCell ref="B56:B57"/>
    <mergeCell ref="C56:C57"/>
    <mergeCell ref="D56:D57"/>
    <mergeCell ref="F56:F57"/>
    <mergeCell ref="G67:I67"/>
    <mergeCell ref="E68:F68"/>
    <mergeCell ref="G69:I69"/>
    <mergeCell ref="G64:I64"/>
    <mergeCell ref="G65:I65"/>
    <mergeCell ref="A63:A67"/>
    <mergeCell ref="E63:F63"/>
    <mergeCell ref="G63:H63"/>
    <mergeCell ref="E65:F65"/>
    <mergeCell ref="A68:A72"/>
    <mergeCell ref="G68:H68"/>
    <mergeCell ref="G70:I70"/>
    <mergeCell ref="G75:I75"/>
    <mergeCell ref="G77:I77"/>
    <mergeCell ref="E70:F70"/>
    <mergeCell ref="G72:I72"/>
    <mergeCell ref="A73:A77"/>
    <mergeCell ref="E73:F73"/>
    <mergeCell ref="G73:H73"/>
    <mergeCell ref="G74:I74"/>
    <mergeCell ref="E75:F75"/>
    <mergeCell ref="A78:A83"/>
    <mergeCell ref="B81:B83"/>
    <mergeCell ref="C81:C83"/>
    <mergeCell ref="D81:D83"/>
    <mergeCell ref="F81:F83"/>
    <mergeCell ref="A84:A87"/>
    <mergeCell ref="G86:I87"/>
    <mergeCell ref="E90:F90"/>
    <mergeCell ref="G91:I91"/>
    <mergeCell ref="G83:I83"/>
    <mergeCell ref="E84:F84"/>
    <mergeCell ref="G84:I84"/>
    <mergeCell ref="G85:I85"/>
    <mergeCell ref="E78:F78"/>
    <mergeCell ref="G78:H78"/>
    <mergeCell ref="G79:I79"/>
    <mergeCell ref="E80:F80"/>
    <mergeCell ref="G80:I80"/>
    <mergeCell ref="E92:F92"/>
    <mergeCell ref="G93:I93"/>
    <mergeCell ref="E86:F86"/>
    <mergeCell ref="E88:F88"/>
    <mergeCell ref="G89:I89"/>
    <mergeCell ref="A88:A91"/>
    <mergeCell ref="G88:H88"/>
    <mergeCell ref="G90:I90"/>
    <mergeCell ref="A92:A95"/>
    <mergeCell ref="G92:H92"/>
    <mergeCell ref="G94:I94"/>
    <mergeCell ref="E98:F98"/>
    <mergeCell ref="G99:I99"/>
    <mergeCell ref="E100:F100"/>
    <mergeCell ref="G101:I101"/>
    <mergeCell ref="E94:F94"/>
    <mergeCell ref="G95:I95"/>
    <mergeCell ref="E96:F96"/>
    <mergeCell ref="G97:I97"/>
    <mergeCell ref="A96:A99"/>
    <mergeCell ref="G96:H96"/>
    <mergeCell ref="G98:I98"/>
    <mergeCell ref="A100:A103"/>
    <mergeCell ref="G100:H100"/>
    <mergeCell ref="G102:I102"/>
    <mergeCell ref="E106:F106"/>
    <mergeCell ref="G107:I107"/>
    <mergeCell ref="E108:F108"/>
    <mergeCell ref="G109:I109"/>
    <mergeCell ref="E102:F102"/>
    <mergeCell ref="G103:I103"/>
    <mergeCell ref="E104:F104"/>
    <mergeCell ref="G105:I105"/>
    <mergeCell ref="A104:A107"/>
    <mergeCell ref="G104:H104"/>
    <mergeCell ref="G106:I106"/>
    <mergeCell ref="A108:A111"/>
    <mergeCell ref="G108:H108"/>
    <mergeCell ref="G110:I110"/>
    <mergeCell ref="E110:F110"/>
    <mergeCell ref="G111:I111"/>
    <mergeCell ref="E112:F112"/>
    <mergeCell ref="G113:I113"/>
    <mergeCell ref="A112:A115"/>
    <mergeCell ref="G112:H112"/>
    <mergeCell ref="G114:I114"/>
    <mergeCell ref="A116:A119"/>
    <mergeCell ref="G116:H116"/>
    <mergeCell ref="G118:I118"/>
    <mergeCell ref="E118:F118"/>
    <mergeCell ref="G119:I119"/>
    <mergeCell ref="A120:A123"/>
    <mergeCell ref="G122:I123"/>
    <mergeCell ref="A124:A127"/>
    <mergeCell ref="G124:I124"/>
    <mergeCell ref="G125:I125"/>
    <mergeCell ref="G126:I127"/>
    <mergeCell ref="E114:F114"/>
    <mergeCell ref="G115:I115"/>
    <mergeCell ref="E116:F116"/>
    <mergeCell ref="G117:I117"/>
    <mergeCell ref="E136:F136"/>
    <mergeCell ref="E138:F138"/>
    <mergeCell ref="E140:F140"/>
    <mergeCell ref="E120:F120"/>
    <mergeCell ref="G120:I120"/>
    <mergeCell ref="G121:I121"/>
    <mergeCell ref="E122:F122"/>
    <mergeCell ref="E124:F124"/>
    <mergeCell ref="E130:F130"/>
    <mergeCell ref="G159:I159"/>
    <mergeCell ref="G160:I160"/>
    <mergeCell ref="G155:I155"/>
    <mergeCell ref="A153:A156"/>
    <mergeCell ref="E153:F153"/>
    <mergeCell ref="G153:H153"/>
    <mergeCell ref="G154:I154"/>
    <mergeCell ref="E155:F155"/>
    <mergeCell ref="G156:I156"/>
    <mergeCell ref="A157:A160"/>
    <mergeCell ref="E157:F157"/>
    <mergeCell ref="G157:H157"/>
    <mergeCell ref="G158:I158"/>
    <mergeCell ref="E159:F159"/>
    <mergeCell ref="A161:A165"/>
    <mergeCell ref="E161:F161"/>
    <mergeCell ref="G161:H161"/>
    <mergeCell ref="G162:I162"/>
    <mergeCell ref="E166:F166"/>
    <mergeCell ref="G166:H166"/>
    <mergeCell ref="G167:I167"/>
    <mergeCell ref="E168:F168"/>
    <mergeCell ref="G168:I168"/>
    <mergeCell ref="E178:F178"/>
    <mergeCell ref="G180:I180"/>
    <mergeCell ref="A181:A185"/>
    <mergeCell ref="E181:F181"/>
    <mergeCell ref="G181:H181"/>
    <mergeCell ref="G182:I182"/>
    <mergeCell ref="E183:F183"/>
    <mergeCell ref="G169:I169"/>
    <mergeCell ref="G163:I163"/>
    <mergeCell ref="G164:I164"/>
    <mergeCell ref="E163:F163"/>
    <mergeCell ref="A166:A170"/>
    <mergeCell ref="G175:I175"/>
    <mergeCell ref="E176:F176"/>
    <mergeCell ref="G177:I177"/>
    <mergeCell ref="G172:I172"/>
    <mergeCell ref="G173:I173"/>
    <mergeCell ref="A171:A175"/>
    <mergeCell ref="E171:F171"/>
    <mergeCell ref="G171:H171"/>
    <mergeCell ref="E173:F173"/>
    <mergeCell ref="A176:A180"/>
    <mergeCell ref="G176:H176"/>
    <mergeCell ref="G178:I178"/>
    <mergeCell ref="E192:F192"/>
    <mergeCell ref="G192:I192"/>
    <mergeCell ref="G193:I193"/>
    <mergeCell ref="E186:F186"/>
    <mergeCell ref="G186:H186"/>
    <mergeCell ref="G187:I187"/>
    <mergeCell ref="E188:F188"/>
    <mergeCell ref="G183:I183"/>
    <mergeCell ref="G185:I185"/>
    <mergeCell ref="E202:F202"/>
    <mergeCell ref="G202:H202"/>
    <mergeCell ref="G203:I203"/>
    <mergeCell ref="E204:F204"/>
    <mergeCell ref="A186:A190"/>
    <mergeCell ref="G188:I189"/>
    <mergeCell ref="A191:A194"/>
    <mergeCell ref="E198:F198"/>
    <mergeCell ref="G198:H198"/>
    <mergeCell ref="G199:I199"/>
    <mergeCell ref="E200:F200"/>
    <mergeCell ref="E194:F194"/>
    <mergeCell ref="G194:H194"/>
    <mergeCell ref="G195:I195"/>
    <mergeCell ref="E196:F196"/>
    <mergeCell ref="G196:I196"/>
    <mergeCell ref="G197:I197"/>
    <mergeCell ref="A195:A198"/>
    <mergeCell ref="A199:A202"/>
    <mergeCell ref="G200:I200"/>
    <mergeCell ref="G201:I201"/>
    <mergeCell ref="E190:F190"/>
    <mergeCell ref="G190:H190"/>
    <mergeCell ref="G191:I191"/>
    <mergeCell ref="A203:A206"/>
    <mergeCell ref="G204:I204"/>
    <mergeCell ref="G205:I205"/>
    <mergeCell ref="A207:A210"/>
    <mergeCell ref="G215:I215"/>
    <mergeCell ref="E216:F216"/>
    <mergeCell ref="G210:I210"/>
    <mergeCell ref="A211:A215"/>
    <mergeCell ref="E211:F211"/>
    <mergeCell ref="G211:H211"/>
    <mergeCell ref="G212:I212"/>
    <mergeCell ref="E213:F213"/>
    <mergeCell ref="G213:I213"/>
    <mergeCell ref="A216:A219"/>
    <mergeCell ref="G216:I216"/>
    <mergeCell ref="G217:I217"/>
    <mergeCell ref="G218:I219"/>
    <mergeCell ref="E206:F206"/>
    <mergeCell ref="G206:H206"/>
    <mergeCell ref="G207:I207"/>
    <mergeCell ref="E208:F208"/>
    <mergeCell ref="G208:I208"/>
    <mergeCell ref="G209:I209"/>
    <mergeCell ref="E222:F222"/>
    <mergeCell ref="E224:F224"/>
    <mergeCell ref="G225:I225"/>
    <mergeCell ref="E218:F218"/>
    <mergeCell ref="E220:F220"/>
    <mergeCell ref="G220:I220"/>
    <mergeCell ref="G221:I221"/>
    <mergeCell ref="A220:A223"/>
    <mergeCell ref="G222:I223"/>
    <mergeCell ref="A224:A228"/>
    <mergeCell ref="G224:H224"/>
    <mergeCell ref="G226:I226"/>
    <mergeCell ref="E226:F226"/>
    <mergeCell ref="G228:I228"/>
    <mergeCell ref="G229:I229"/>
    <mergeCell ref="A229:A232"/>
    <mergeCell ref="E229:F229"/>
    <mergeCell ref="G230:I230"/>
    <mergeCell ref="E231:F231"/>
    <mergeCell ref="G231:I232"/>
    <mergeCell ref="A233:A236"/>
    <mergeCell ref="E233:F233"/>
    <mergeCell ref="G233:I233"/>
    <mergeCell ref="G234:I234"/>
    <mergeCell ref="E235:F235"/>
    <mergeCell ref="G235:I236"/>
    <mergeCell ref="G239:I239"/>
    <mergeCell ref="A237:A240"/>
    <mergeCell ref="E237:F237"/>
    <mergeCell ref="G237:H237"/>
    <mergeCell ref="G238:I238"/>
    <mergeCell ref="E239:F239"/>
    <mergeCell ref="G240:I240"/>
    <mergeCell ref="A241:A244"/>
    <mergeCell ref="E241:F241"/>
    <mergeCell ref="G241:H241"/>
    <mergeCell ref="G242:I242"/>
    <mergeCell ref="E243:F243"/>
    <mergeCell ref="G243:I243"/>
    <mergeCell ref="G244:I244"/>
    <mergeCell ref="A245:A248"/>
    <mergeCell ref="E245:F245"/>
    <mergeCell ref="G245:I245"/>
    <mergeCell ref="G246:I246"/>
    <mergeCell ref="E247:F247"/>
    <mergeCell ref="G247:I248"/>
    <mergeCell ref="A249:A252"/>
    <mergeCell ref="E249:F249"/>
    <mergeCell ref="G249:I249"/>
    <mergeCell ref="G250:I250"/>
    <mergeCell ref="E251:F251"/>
    <mergeCell ref="G253:I253"/>
    <mergeCell ref="G251:I252"/>
    <mergeCell ref="A253:A256"/>
    <mergeCell ref="E253:F253"/>
    <mergeCell ref="G254:I254"/>
    <mergeCell ref="E255:F255"/>
    <mergeCell ref="G255:I256"/>
    <mergeCell ref="A257:A260"/>
    <mergeCell ref="E257:F257"/>
    <mergeCell ref="G257:H257"/>
    <mergeCell ref="G258:I258"/>
    <mergeCell ref="G263:I263"/>
    <mergeCell ref="G264:I264"/>
    <mergeCell ref="G259:I259"/>
    <mergeCell ref="G260:I260"/>
    <mergeCell ref="E259:F259"/>
    <mergeCell ref="A261:A264"/>
    <mergeCell ref="E261:F261"/>
    <mergeCell ref="G261:H261"/>
    <mergeCell ref="G262:I262"/>
    <mergeCell ref="E263:F263"/>
    <mergeCell ref="A265:A268"/>
    <mergeCell ref="E265:F265"/>
    <mergeCell ref="G265:H265"/>
    <mergeCell ref="G266:I266"/>
    <mergeCell ref="G271:I271"/>
    <mergeCell ref="G272:I272"/>
    <mergeCell ref="G267:I267"/>
    <mergeCell ref="G268:I268"/>
    <mergeCell ref="E267:F267"/>
    <mergeCell ref="A269:A272"/>
    <mergeCell ref="E269:F269"/>
    <mergeCell ref="G269:H269"/>
    <mergeCell ref="G270:I270"/>
    <mergeCell ref="E271:F271"/>
    <mergeCell ref="A273:A276"/>
    <mergeCell ref="E273:F273"/>
    <mergeCell ref="G273:H273"/>
    <mergeCell ref="G274:I274"/>
    <mergeCell ref="G279:I279"/>
    <mergeCell ref="G278:I278"/>
    <mergeCell ref="G275:I275"/>
    <mergeCell ref="G276:I276"/>
    <mergeCell ref="E275:F275"/>
    <mergeCell ref="A277:A281"/>
    <mergeCell ref="E277:F277"/>
    <mergeCell ref="G277:H277"/>
    <mergeCell ref="E279:F279"/>
    <mergeCell ref="G280:I280"/>
    <mergeCell ref="G281:I281"/>
    <mergeCell ref="E286:F286"/>
    <mergeCell ref="G286:H286"/>
    <mergeCell ref="G287:I287"/>
    <mergeCell ref="E288:F288"/>
    <mergeCell ref="A286:A289"/>
    <mergeCell ref="E282:F282"/>
    <mergeCell ref="G282:H282"/>
    <mergeCell ref="G283:I283"/>
    <mergeCell ref="E284:F284"/>
    <mergeCell ref="A282:A285"/>
    <mergeCell ref="G284:I285"/>
    <mergeCell ref="G288:I289"/>
    <mergeCell ref="E294:F294"/>
    <mergeCell ref="G295:I295"/>
    <mergeCell ref="E296:F296"/>
    <mergeCell ref="A294:A297"/>
    <mergeCell ref="E290:F290"/>
    <mergeCell ref="G291:I291"/>
    <mergeCell ref="E292:F292"/>
    <mergeCell ref="A290:A293"/>
    <mergeCell ref="G290:H290"/>
    <mergeCell ref="G292:I292"/>
    <mergeCell ref="G293:I293"/>
    <mergeCell ref="G294:H294"/>
    <mergeCell ref="G296:I296"/>
    <mergeCell ref="G297:I297"/>
    <mergeCell ref="E302:F302"/>
    <mergeCell ref="G302:H302"/>
    <mergeCell ref="G303:I303"/>
    <mergeCell ref="E304:F304"/>
    <mergeCell ref="G304:I304"/>
    <mergeCell ref="G305:I305"/>
    <mergeCell ref="A302:A305"/>
    <mergeCell ref="E298:F298"/>
    <mergeCell ref="G298:H298"/>
    <mergeCell ref="G299:I299"/>
    <mergeCell ref="E300:F300"/>
    <mergeCell ref="G300:I300"/>
    <mergeCell ref="G301:I301"/>
    <mergeCell ref="A298:A301"/>
    <mergeCell ref="G315:I315"/>
    <mergeCell ref="E316:F316"/>
    <mergeCell ref="G316:I316"/>
    <mergeCell ref="G317:I317"/>
    <mergeCell ref="E310:F310"/>
    <mergeCell ref="G311:I311"/>
    <mergeCell ref="E312:F312"/>
    <mergeCell ref="A310:A313"/>
    <mergeCell ref="E306:F306"/>
    <mergeCell ref="G306:H306"/>
    <mergeCell ref="G307:I307"/>
    <mergeCell ref="E308:F308"/>
    <mergeCell ref="G308:I308"/>
    <mergeCell ref="G309:I309"/>
    <mergeCell ref="A306:A309"/>
    <mergeCell ref="G310:H310"/>
    <mergeCell ref="G312:I312"/>
    <mergeCell ref="G313:I313"/>
    <mergeCell ref="A314:A318"/>
    <mergeCell ref="G318:H318"/>
    <mergeCell ref="E318:F318"/>
    <mergeCell ref="E314:F314"/>
    <mergeCell ref="G314:H314"/>
    <mergeCell ref="A319:A322"/>
    <mergeCell ref="G322:H322"/>
    <mergeCell ref="E326:F326"/>
    <mergeCell ref="G327:I327"/>
    <mergeCell ref="E328:F328"/>
    <mergeCell ref="G326:I326"/>
    <mergeCell ref="G328:I329"/>
    <mergeCell ref="E322:F322"/>
    <mergeCell ref="G323:I323"/>
    <mergeCell ref="E324:F324"/>
    <mergeCell ref="A323:A326"/>
    <mergeCell ref="G324:I324"/>
    <mergeCell ref="G325:I325"/>
    <mergeCell ref="A327:A330"/>
    <mergeCell ref="G330:I330"/>
    <mergeCell ref="G319:I319"/>
    <mergeCell ref="E320:F320"/>
    <mergeCell ref="G320:I320"/>
    <mergeCell ref="G321:I321"/>
    <mergeCell ref="G335:I335"/>
    <mergeCell ref="E336:F336"/>
    <mergeCell ref="G336:I336"/>
    <mergeCell ref="G337:I337"/>
    <mergeCell ref="A331:A335"/>
    <mergeCell ref="E331:F331"/>
    <mergeCell ref="G331:H331"/>
    <mergeCell ref="G332:I332"/>
    <mergeCell ref="E333:F333"/>
    <mergeCell ref="G333:I333"/>
    <mergeCell ref="G334:I334"/>
    <mergeCell ref="A336:A339"/>
    <mergeCell ref="G338:I339"/>
    <mergeCell ref="E342:F342"/>
    <mergeCell ref="E344:F344"/>
    <mergeCell ref="G345:I345"/>
    <mergeCell ref="E338:F338"/>
    <mergeCell ref="E340:F340"/>
    <mergeCell ref="G340:I340"/>
    <mergeCell ref="G341:I341"/>
    <mergeCell ref="A340:A343"/>
    <mergeCell ref="G342:I343"/>
    <mergeCell ref="A344:A347"/>
    <mergeCell ref="G344:H344"/>
    <mergeCell ref="G346:I346"/>
    <mergeCell ref="E350:F350"/>
    <mergeCell ref="E352:F352"/>
    <mergeCell ref="G352:I352"/>
    <mergeCell ref="G353:I353"/>
    <mergeCell ref="E346:F346"/>
    <mergeCell ref="G347:I347"/>
    <mergeCell ref="E348:F348"/>
    <mergeCell ref="A348:A351"/>
    <mergeCell ref="G348:I348"/>
    <mergeCell ref="G349:I349"/>
    <mergeCell ref="G350:I351"/>
    <mergeCell ref="A352:A355"/>
    <mergeCell ref="G354:I355"/>
    <mergeCell ref="E358:F358"/>
    <mergeCell ref="E360:F360"/>
    <mergeCell ref="G360:I360"/>
    <mergeCell ref="G361:I361"/>
    <mergeCell ref="E354:F354"/>
    <mergeCell ref="E356:F356"/>
    <mergeCell ref="G356:I356"/>
    <mergeCell ref="G357:I357"/>
    <mergeCell ref="A356:A359"/>
    <mergeCell ref="G358:I359"/>
    <mergeCell ref="A360:A363"/>
    <mergeCell ref="G362:I363"/>
    <mergeCell ref="E366:F366"/>
    <mergeCell ref="E368:F368"/>
    <mergeCell ref="G368:I368"/>
    <mergeCell ref="G369:I369"/>
    <mergeCell ref="E362:F362"/>
    <mergeCell ref="E364:F364"/>
    <mergeCell ref="G364:I364"/>
    <mergeCell ref="G365:I365"/>
    <mergeCell ref="A364:A367"/>
    <mergeCell ref="G366:I367"/>
    <mergeCell ref="A368:A371"/>
    <mergeCell ref="G370:I371"/>
    <mergeCell ref="E374:F374"/>
    <mergeCell ref="E376:F376"/>
    <mergeCell ref="G377:I377"/>
    <mergeCell ref="E370:F370"/>
    <mergeCell ref="E372:F372"/>
    <mergeCell ref="G372:I372"/>
    <mergeCell ref="G373:I373"/>
    <mergeCell ref="A372:A375"/>
    <mergeCell ref="G374:I375"/>
    <mergeCell ref="A376:A379"/>
    <mergeCell ref="G376:H376"/>
    <mergeCell ref="G378:I379"/>
    <mergeCell ref="E382:F382"/>
    <mergeCell ref="E384:F384"/>
    <mergeCell ref="G385:I385"/>
    <mergeCell ref="E378:F378"/>
    <mergeCell ref="E380:F380"/>
    <mergeCell ref="G381:I381"/>
    <mergeCell ref="A380:A383"/>
    <mergeCell ref="G380:H380"/>
    <mergeCell ref="G382:I383"/>
    <mergeCell ref="A384:A387"/>
    <mergeCell ref="G384:H384"/>
    <mergeCell ref="G386:I387"/>
    <mergeCell ref="E390:F390"/>
    <mergeCell ref="E392:F392"/>
    <mergeCell ref="G393:I393"/>
    <mergeCell ref="E386:F386"/>
    <mergeCell ref="E388:F388"/>
    <mergeCell ref="G389:I389"/>
    <mergeCell ref="A388:A391"/>
    <mergeCell ref="G388:H388"/>
    <mergeCell ref="G390:I391"/>
    <mergeCell ref="A392:A395"/>
    <mergeCell ref="G392:H392"/>
    <mergeCell ref="G394:I395"/>
    <mergeCell ref="E398:F398"/>
    <mergeCell ref="E400:F400"/>
    <mergeCell ref="G401:I401"/>
    <mergeCell ref="E394:F394"/>
    <mergeCell ref="E396:F396"/>
    <mergeCell ref="G397:I397"/>
    <mergeCell ref="A396:A399"/>
    <mergeCell ref="G396:H396"/>
    <mergeCell ref="G398:I399"/>
    <mergeCell ref="A400:A403"/>
    <mergeCell ref="G400:H400"/>
    <mergeCell ref="G402:I402"/>
    <mergeCell ref="E406:F406"/>
    <mergeCell ref="E408:F408"/>
    <mergeCell ref="E402:F402"/>
    <mergeCell ref="G403:I403"/>
    <mergeCell ref="E404:F404"/>
    <mergeCell ref="G404:I404"/>
    <mergeCell ref="G405:I405"/>
    <mergeCell ref="A404:A407"/>
    <mergeCell ref="G406:I407"/>
    <mergeCell ref="A408:A411"/>
    <mergeCell ref="G408:H408"/>
    <mergeCell ref="G409:I409"/>
    <mergeCell ref="G410:I410"/>
    <mergeCell ref="E410:F410"/>
    <mergeCell ref="G411:I411"/>
    <mergeCell ref="E142:F142"/>
    <mergeCell ref="G133:I133"/>
    <mergeCell ref="G131:I131"/>
    <mergeCell ref="G129:I129"/>
    <mergeCell ref="E132:F132"/>
    <mergeCell ref="E126:F126"/>
    <mergeCell ref="E128:F128"/>
    <mergeCell ref="A128:A131"/>
    <mergeCell ref="G128:H128"/>
    <mergeCell ref="G130:I130"/>
    <mergeCell ref="A132:A135"/>
    <mergeCell ref="G132:H132"/>
    <mergeCell ref="G134:I134"/>
    <mergeCell ref="A136:A139"/>
    <mergeCell ref="G136:H136"/>
    <mergeCell ref="G138:I138"/>
    <mergeCell ref="A140:A144"/>
    <mergeCell ref="G142:I144"/>
    <mergeCell ref="G141:I141"/>
    <mergeCell ref="G139:I139"/>
    <mergeCell ref="G140:I140"/>
    <mergeCell ref="G137:I137"/>
    <mergeCell ref="G135:I135"/>
    <mergeCell ref="E134:F134"/>
  </mergeCells>
  <dataValidations count="50">
    <dataValidation allowBlank="1" showInputMessage="1" showErrorMessage="1" promptTitle="Next Traveler Name " prompt="List traveler's first and last name here." sqref="B291 B19 B24 B29 B34 B54 B59 B44 B39 B49 B64 B69 B74 B225 B238 B79 B89 B93 B97 B105 B109 B113 B117 B242 B101 B129 B133 B137 B295 B299 B270 B146 B150 B154 B158 B199 B207 B203 B258 B274 B262 B266 B303 B307 B311 B162 B172 B167 B182 B177 B191 B195 B212 B315 B319 B278 B332 B345 B413 B377 B409 B405 B433 B373 B369 B365 B357 B361 B381 B385 B389 B393"/>
    <dataValidation allowBlank="1" showInputMessage="1" showErrorMessage="1" promptTitle="Traveler Name " prompt="List traveler's first and last name here." sqref="B85 B121 B125 B141 B187 B217 B221 B230 B234 B246 B250 B254 B283 B287 B327 B337 B341 B349 B353 B397 B401 B417 B421 B425 B429 B437 B441"/>
    <dataValidation allowBlank="1" showInputMessage="1" showErrorMessage="1" promptTitle="Event Description" prompt="Provide event description (e.g. title of the conference) here." sqref="C225 C230 C234 C238 C19 C24 C29 C34 C49 C59 C39 C44 C54 C64 C74 C69 C242 C79 C85 C89 C93 C97 C109 C113 C117 C121 C105 C125 C129 C133 C137 C246 C270 C258 C101 C141 C146 C150 C154 C158 C199 C207 C203 C274 C254 C262 C266 C295 C299 C311 C315 C319 C327 C162 C172 C167 C182 C177 C187 C191 C195 C212 C217 C219 C221 C283 C303 C307 C278 C287 C291 C332 C337 C345 C341 C349 C353 C417 C421 C413 C425 C429 C381 C385 C389 C373 C369 C401 C405 C397 C377 C437 C441 C393 C357 C365 C361 C409"/>
    <dataValidation type="date" allowBlank="1" showInputMessage="1" showErrorMessage="1" errorTitle="Text Entered Not Valid" error="Please enter date using standardized format MM/DD/YYYY." promptTitle="Event Beginning Date" prompt="Insert event beginning date using the format MM/DD/YYYY here._x000a_" sqref="D230 D238 D242 D234 D246 D19 D24 D29 D34 D49 D59 D39 D44 D54 D64 D74 D69 D250 D79 D85 D89 D93 D97 D109 D113 D117 D121 D105 D125 D129 D133 D137 F252 D270 D254 D101 D141 D146 D150 D154 D158 D199 D207 D203 D274 D258 D262 D266 D295 D299 D303 D307 D311 D327 D162 D172 D167 D182 D177 D187 D191 D195 D212 D217 D219 D221 D225 D283 D315 D319 D278 D291 D287 D332 D337 D345 D341 D349 D353 D417 D421 D413 D425 D429 D387 D391 D395 D405 D397 D377 D383 D379 D433 D437 D441 D393 D357 D365 D361 D409 D369 D401 D399 D381 D385 D389 D373">
      <formula1>40179</formula1>
      <formula2>73051</formula2>
    </dataValidation>
    <dataValidation allowBlank="1" showInputMessage="1" showErrorMessage="1" promptTitle="Location " prompt="List location of event here." sqref="F225 F230 F234 F238 F19 F24 F29 F34 F49 F59 F39 F44 F54 F64 F74 F69 F242 F79 F85 F89 F93 F97 F109 F113 F117 F121 F105 F125 F129 F133 F137 F246 F270 F254 F101 F141 F146 F150 F154 F158 F199 F207 F203 F274 F258 F262 F266 F295 F299 F303 F307 F311 F327 F162 F172 F167 F182 F177 F187 F191 F195 F212 F217 F221 F283 F315 F319 F278 F287 F291 F332 F337 F345 F341 F349 F353 F417 F421 F413 F425 F429 F385 F389 F373 F405 F401 F397 F377 F381 F433 F437 F441 F393 F357 F365 F361 F409 F369"/>
    <dataValidation allowBlank="1" showInputMessage="1" showErrorMessage="1" promptTitle="Traveler Title" prompt="List traveler's title here." sqref="B232 B236 B240 B244 B248 B252 B268 B32 B36 B51 B56 B62 B272 B47 B67 B72 B77 B276 B81:B82 B87 B91 B95 B99 B111 B115 B119 B123 B107 B127 B131 B135 B139 B293 B103 B144 B152 B156 B160 B148 B209:B210 B197 B201 B205 B256 B260 B264 B329:B330 B297 B301 B305 B309 B313 B164:B165 B175 B169:B170 B185 B180 B189 B193 B215 B219 B223 B228 B285 B317 B321 B280:B281 B289 B334:B335 B339 B343 B347 B351 B355 B419 B423 B415 B427 B431 B407 B387 B391 B395 B379 B435 B375 B371 B411 B443 B439 B367 B399 B363"/>
    <dataValidation allowBlank="1" showInputMessage="1" showErrorMessage="1" promptTitle="Event Sponsor" prompt="List the event sponsor here." sqref="C232 C236 C240 C244 C248 C252 C268 C32 C36 C51 C56 C62 C272 C47 C67 C72 C77 C276 C87 C91 C95 C99 C111 C115 C119 C123 C107 C127 C131 C135 C139 C293 C297 C103 C144 C152 C156 C160 C148 C209:C210 C197 C201 C205 C256 C260 C264 C330 C301 C321 C305 C313 C164:C165 C175 C169:C170 C185 C180 C189 C193 C215 C223 C228 C285 C317 C309 C280:C281 C289 C334:C335 C339 C343 C347 C351 C355 C419 C423 C415 C427 C431 C387 C391 C375 C407 C379 C435 C403 B383:C383 C399 C443 C439 C359 C395 C367 C363 C411 C371"/>
    <dataValidation type="date" allowBlank="1" showInputMessage="1" showErrorMessage="1" errorTitle="Data Entry Error" error="Please enter date using MM/DD/YYYY" promptTitle="Event Ending Date" prompt="List Event ending date here using the format MM/DD/YYYY." sqref="D232 D236 D240 D244 D248 D252 D268 D32 D36 D56 D62 D47 D272 D51 D67 D72 D77 D276 D87 D91 D95 D99 D111 D115 D119 D123 D107 D127 D131 D135 D139 D293 D297 D103 D144 D152 D156 D160 D148 D209:D210 D197 D201 D205 D256 D260 D264 D329:D330 D301 D305 D309 D313 D164:D165 D175 D169:D170 D185 D180 D189 D193 D215 D223 D228 D285 D317 D321 D280:D281 D289 D334:D335 D339 D343 D347 D351 D355 D419 D423 D415 D427 D431 D363 D411 D371 D403 D407 D435 D359 D375 D367 D443 D439">
      <formula1>40179</formula1>
      <formula2>73051</formula2>
    </dataValidation>
    <dataValidation allowBlank="1" showInputMessage="1" showErrorMessage="1" promptTitle="Travel Date(s)" prompt="List the dates of travel here expressed in the format MM/DD/YYYY-MM/DD/YYYY." sqref="F228 F232 F236 F240 F244 F248 F268 F32 F36 F56 F62 F47 F272 F51 F67 F72 F77 F276 F87 F91 F95 F99 F111 F115 F119 F123 F107 F127 F131 F135 F139 F293 F301 F103 F144 F152 F156 F160 F148 F209:F210 F197 F201 F205 F256 F260 F264 F329:F330 F297 F305 F309 F313 F164:F165 F175 F169:F170 F185 F180 F189 F193 F215 F219 F223 F285 F317 F321 F280:F281 F289 F334:F335 F339 F343 F347 F351 F355 F403 F423 F427 F431 F435 F443 F439"/>
    <dataValidation allowBlank="1" showInputMessage="1" showErrorMessage="1" promptTitle="Benefit#1 Description" prompt="Benefit Description for Entry #1 is listed here." sqref="J224:J225 J229:J230 J237:J238 J233:J234 J241:J242 J23:J24 J18:J19 J33:J34 J28:J29 J53:J54 J48:J49 J58:J59 J43:J45 J38:J39 J63:J64 J73:J74 J68:J69 J245:J246 J78:J79 J84:J85 J88:J89 J92:J93 J96:J97 J108:J109 J112:J113 J116:J117 J120:J121 J104:J105 J124:J125 J128:J129 J132:J133 J136:J137 J249:J250 J269:J270 J253:J254 J100:J101 J149:J150 J145:J146 J153:J154 J157:J158 J140:J141 J198:J199 J206:J207 J202:J203 J273:J274 J257:J258 J261:J262 J265:J266 J306:J307 J294:J295 J298:J299 J310:J311 J314:J315 J326:J327 J161:J162 J171:J172 J166:J167 J181:J182 J176:J177 J186:J187 J190:J191 J194:J195 J211:J212 J216 J220:J221 J322 J286:J287 J318:J319 J277:J278 J282:J283 J290:J291 J302:J303 J331:J332 J336:J337 J344:J345 J340:J341 J348:J349 J352:J353 J416 J420:J421 J412:J413 J424:J425 J428:J429 J384:J385 J388:J389 J372:J373 J400:J401 J396:J397 J404:J405 J380:J381 J376:J377 J432:J433 J436:J437 J440:J441 J392:J393 J356:J357 J364:J365 J360:J361 J408:J409 J368:J369"/>
    <dataValidation allowBlank="1" showInputMessage="1" showErrorMessage="1" promptTitle="Benefit #1 Total Amount" prompt="The total amount of Benefit #1 is entered here." sqref="M224:M225 M229:M230 M237:M238 M241:M242 M233:M234 M18:M19 M23:M24 M28:M29 M33:M34 M48:M49 M58:M59 M43:M44 M38:M39 M53:M54 M63:M64 M73:M74 M68:M69 M245:M246 M78:M79 M84:M85 M88:M89 M92:M93 M96:M97 M108:M109 M112:M113 M116:M117 M120:M121 M104:M105 M124:M125 M128:M129 M132:M133 M136:M137 M249:M250 M269:M270 M253:M254 M100:M101 M140:M141 M145:M146 M149:M150 M153:M154 M157:M158 M198:M199 M206:M207 M202:M203 M273:M274 M257:M258 M261:M262 M265:M266 M298:M299 M302:M303 M306:M307 M310:M311 M314:M315 M326:M327 M161:M162 M171:M172 M166:M167 M181:M182 M176:M177 M186:M187 M190:M191 M194:M195 M211:M212 M216 M220:M221 M322 M286:M287 M318:M319 M277:M278 M282:M283 M290:M291 M294:M295 M331:M332 M336:M337 M344:M345 M340:M341 M348:M349 M352:M353 M416 M420:M421 M412:M413 M424:M425 M428:M429 M384:M385 M388:M389 M372:M373 M400:M401 M396:M397 M404:M405 M380:M381 M376:M377 M432:M433 M436:M437 M440:M441 M392:M393 M356:M357 M364:M365 M360:M361 M408:M409 M368:M369"/>
    <dataValidation allowBlank="1" showInputMessage="1" showErrorMessage="1" promptTitle="Benefit #2 Description" prompt="Benefit #2 description is listed here" sqref="J226:J227 J231 J235 J239 J243 J20:J21 J25:J26 J30:J31 J35:J36 J50:J51 J55:J56 J60:J61 J40:J41 J46 J65:J66 J70:J71 J75:J76 J247 J80:J82 J86 J90 J94 J98 J110 J114 J118 J122 J106 J126 J130 J134 J138 J251 J267 J271 J102 J142:J143 J147 J151 J155 J159 J204 J208 J188 J275 J255 J259 J263 J284 J292 J296 J328 J279 J163 J168 J173:J174 J178:J179 J183:J184 J192 J196 J200 J213:J214 J222 J333 J338 J342 J346 J350 J354 J414 J422 J378 J426 J434 J386 J390 J366 J402 J398 J374 J406 J382 J442 J430 J438 J358 J410 J362 J394 J370"/>
    <dataValidation allowBlank="1" showInputMessage="1" showErrorMessage="1" promptTitle="Benefit #2 Total Amount" prompt="The total amount of Benefit #2 is entered here." sqref="M226:M227 M231 M235 M239 M243 M20:M21 M30:M31 M25:M26 M35:M36 M55:M56 M60:M61 M45:M46 M40:M41 M50:M51 M65:M66 M70:M71 M75:M76 M247 M80:M82 M86 M90 M94 M98 M110 M114 M118 M122 M106 M126 M130 M134 M138 M251 M267 M271 M102 M142:M143 M147 M151 M155 M159 M204 M208 M188 M275 M255 M259 M263 M292 M296 M300 M304 M308 M312 M163 M168 M173:M174 M178:M179 M183:M184 M192 M196 M200 M213:M214 M222 M284 M316 M320 M328 M279 M288 M333 M338 M342 M346 M350 M354 M414 M422 M378 M426 M434 M386 M390 M366 M402 M398 M374 M382 M442 M406 M430 M438 M358 M410 M362 M394 M370"/>
    <dataValidation allowBlank="1" showInputMessage="1" showErrorMessage="1" promptTitle="Benefit #3 Total Amount" prompt="The total amount of Benefit #3 is entered here." sqref="M232 M236 M240 M244 M248 M22 M32 M27 M37 M57 M62 M47 M42 M52 M67 M72 M77 M252 M83 M87 M91 M95 M99 M111 M115 M119 M123 M107 M127 M131 M135 M139 M268 M272 M276 M103 M144 M152 M156 M160 M148 M209:M210 M197 M201 M205 M256 M260 M264 M329:M330 M293 M297 M301 M305 M309 M313 M164:M165 M175 M169:M170 M185 M180 M189 M193 M215 M223 M228 M285 M317 M321 M280:M281 M289 M334:M335 M339 M343 M347 M351 M355 M415 M423 M379 M427 M435 M387 M391 M367 M403 M375 M407 M399 M383 M443 M431 M439 M359 M411 M363 M395 M371"/>
    <dataValidation allowBlank="1" showInputMessage="1" showErrorMessage="1" promptTitle="Benefit #3 Description" prompt="Benefit #3 description is listed here" sqref="J232 J236 J240 J244 J248 J22 J27 J32 J37 J52 J57 J62 J42 J47 J67 J72 J77 J252 J83 J87 J91 J95 J99 J111 J115 J119 J123 J107 J127 J131 J135 J139 J268 J272 J276 J103 J144 J152 J156 J160 J148 J209:J210 J197 J201 J205 J256 J260 J264 J329:J330 J293 J297 J301 J309 J305 J313 J164:J165 J175 J169:J170 J185 J180 J189 J193 J215 J223 J228 J285 J317 J321 J280:J281 J289 J334:J335 J339 J343 J347 J351 J355 J415 J423 J379 J427 J435 J387 J391 J367 J403 J375 J407 J399 J383 J443 J431 J439 J359 J411 J363 J395 J371"/>
    <dataValidation allowBlank="1" showInputMessage="1" showErrorMessage="1" promptTitle="Benefit #1--Payment by Check" prompt="If there is a benefit #1 and it was paid by check, mark an x in this cell._x000a_" sqref="K224:K225 K229:K230 K237:K238 K241:K242 K233:K234 K23:K24 K18:K19 K33:K34 K28:K29 K53:K54 K48:K49 K58:K59 K43:K45 K38:K39 K63:K64 K73:K74 K68:K69 K245:K246 K78:K79 K84:K85 K88:K89 K92:K93 K96:K97 K108:K109 K112:K113 K116:K117 K120:K121 K104:K105 K124:K125 K128:K129 K132:K133 K136:K137 K249:K250 K269:K270 K253:K254 K100:K101 K140:K141 K145:K146 K149:K150 K153:K154 K157:K158 K198:K199 K206:K207 K202:K203 K273:K274 K257:K258 K261:K262 K265:K266 K298:K299 K302:K303 K306:K307 K310:K311 K318:K319 K326:K327 K161:K162 K171:K172 K166:K167 K181:K182 K176:K177 K186:K187 K190:K191 K194:K195 K211:K212 K216 K220:K221 K322 K286:K287 K314:K315 K277:K278 K282:K283 K290:K291 K294:K295 K331:K332 K336:K337 K344:K345 K340:K341 K348:K349 K352:K353 K416 K420:K421 K412:K413 K424:K425 K428:K429 K388:K389 K408:K409 K372:K373 K396:K397 K380:K381 K404:K405 K384:K385 K376:K377 K432:K433 K436:K437 K440:K441 K392:K393 K364:K365 K360:K361 K356:K357 K368:K369 K400:K401"/>
    <dataValidation allowBlank="1" showInputMessage="1" showErrorMessage="1" promptTitle="Benefit #2--Payment by Check" prompt="If there is a benefit #2 and it was paid by check, mark an x in this cell._x000a_" sqref="K226:K227 K231 K235 K239 K243 K20:K21 K25:K26 K30:K31 K35:K36 K50:K51 K55:K56 K60:K61 K40:K41 K46 K65:K66 K70:K71 K75:K76 K247 K80:K82 K86 K90 K94 K98 K110 K114 K118 K122 K106 K126 K130 K134 K138 K251 K267 K271 K102 K142:K143 K147 K151 K155 K159 K204 K208 K188 K275 K255 K259 K263 K292 K296 K300 K304 K308 K312 K163 K168 K173:K174 K178:K179 K183:K184 K192 K196 K200 K213:K214 K222 K284 K320 K316 K328 K279 K288 K333 K338 K342 K346 K350 K354 K414 K422 K378 K426 K434 K386 K390 K366 K402 K398 K374 K382 K442 K406 K430 K438 K358 K410 K362 K394 K370"/>
    <dataValidation allowBlank="1" showInputMessage="1" showErrorMessage="1" promptTitle="Benefit #3--Payment by Check" prompt="If there is a benefit #3 and it was paid by check, mark an x in this cell._x000a_" sqref="K232 K236 K240 K244 K248 K22 K27 K32 K37 K52 K57 K62 K42 K47 K67 K72 K77 K252 K83 K87 K91 K95 K99 K111 K115 K119 K123 K107 K127 K131 K135 K139 K268 K272 K276 K103 K144 K152 K156 K160 K148 K209:K210 K197 K201 K205 K256 K260 K264 K329:K330 K293 K297 K301 K305 K309 K313 K164:K165 K175 K169:K170 K185 K180 K189 K193 K215 K223 K228 K285 K321 K317 K280:K281 K289 K334:K335 K339 K343 K347 K351 K355 K415 K423 K379 K427 K435 K387 K391 K367 K403 K375 K407 K399 K383 K443 K431 K439 K359 K411 K363 K395 K371"/>
    <dataValidation allowBlank="1" showInputMessage="1" showErrorMessage="1" promptTitle="Benefit #1- Payment in-kind" prompt="If there is a benefit #1 and it was paid in-kind, mark this box with an  x._x000a_" sqref="L224:L225 L229:L230 L237:L238 L241:L242 L233:L234 L23:L24 L18:L19 L33:L34 L28:L29 L53:L54 L48:L49 L58:L59 L43:L45 L38:L39 L63:L64 L73:L74 L68:L69 L245:L246 L78:L79 L84:L85 L88:L89 L92:L93 L96:L97 L108:L109 L112:L113 L116:L117 L120:L121 L104:L105 L124:L125 L128:L129 L132:L133 L136:L137 L249:L250 L269:L270 L253:L254 L100:L101 L140:L141 L145:L146 L149:L150 L153:L154 L157:L158 L198:L199 L206:L207 L202:L203 L273:L274 L257:L258 L261:L262 L265:L266 L298:L299 L302:L303 L306:L307 L310:L311 L318:L319 L326:L327 L161:L162 L171:L172 L166:L167 L181:L182 L176:L177 L186:L187 L190:L191 L194:L195 L211:L212 L216 L220:L221 L322 L286:L287 L314:L315 L277:L278 L282:L283 L290:L291 L294:L295 L331:L332 L336:L337 L344:L345 L340:L341 L348:L349 L352:L353 L416 L420:L421 L412:L413 L424:L425 L428:L429 L384:L385 L388:L389 L372:L373 L400:L401 L396:L397 L404:L405 L380:L381 L376:L377 L432:L433 L436:L437 L440:L441 L392:L393 L356:L357 L364:L365 L360:L361 L408:L409 L368:L369"/>
    <dataValidation allowBlank="1" showInputMessage="1" showErrorMessage="1" promptTitle="Benefit #2- Payment in-kind" prompt="If there is a benefit #2 and it was paid in-kind, mark this box with an  x._x000a_" sqref="L226:L227 L231 L235 L239 L243 L20:L21 L25:L26 L30:L31 L35:L36 L50:L51 L55:L56 L60:L61 L40:L41 L46 L65:L66 L70:L71 L75:L76 L247 L80:L82 L86 L90 L94 L98 L110 L114 L118 L122 L106 L126 L130 L134 L138 L251 L267 L271 L102 L142:L143 L147 L151 L155 L159 L204 L208 L188 L275 L255 L259 L263 L292 L296 L300 L304 L308 L312 L163 L168 L173:L174 L178:L179 L183:L184 L192 L196 L200 L213:L214 L222 L284 L320 L316 L328 L279 L333 L338 L342 L346 L350 L354 L414 L422 L378 L426 L434 L386 L390 L366 L402 L398 L374 L382 L442 L406 L430 L438 L358 L410 L362 L394 L370"/>
    <dataValidation allowBlank="1" showInputMessage="1" showErrorMessage="1" promptTitle="Benefit #3- Payment in-kind" prompt="If there is a benefit #3 and it was paid in-kind, mark this box with an  x._x000a_" sqref="L232 L236 L240 L244 L248 L22 L27 L32 L37 L52 L57 L62 L42 L47 L67 L72 L77 L252 L83 L87 L91 L95 L99 L111 L115 L119 L123 L107 L127 L131 L135 L139 L268 L272 L276 L103 L144 L152 L156 L160 L148 L209:L210 L197 L201 L205 L256 L260 L264 L329:L330 L293 L297 L301 L305 L309 L313 L164:L165 L175 L169:L170 L185 L180 L189 L193 L215 L223 L228 L285 L321 L317 L280:L281 L289 L334:L335 L339 L343 L347 L351 L355 L415 L423 L379 L427 L435 L387 L391 L367 L403 L375 L407 L399 L383 L443 L431 L439 L359 L411 L363 L395 L371"/>
    <dataValidation allowBlank="1" showInputMessage="1" showErrorMessage="1" promptTitle="Benefit Source" prompt="List the benefit source here." sqref="G15:I15 G17:I17 G228:I228 G225:I225 G230 G240:I240 G234 G244:I244 G19:I19 G22:I22 G27:I27 G34:I34 G32:I32 G24:I24 G37:I37 G29:I29 G49:I49 G57:I57 G62:I62 G59:I59 G44 G39:I39 G42:I42 G47:I47 G54:I54 G52:I52 G64:I64 G67:I67 G74:I74 G72:I72 G69:I69 G77:I77 G238 G242 G246 G83:I83 G79:I79 G85 G91:I91 G95:I95 G93:I93 G89:I89 G99:I99 G97:I97 G115:I115 G119:I119 G101:I101 G105:I105 G109:I109 G113:I113 G117:I117 G121 G103:I103 G107:I107 G111:I111 G125 G131:I131 G135:I135 G133:I133 G129:I129 G139:I139 G137:I137 G250 G258 G268:I268 G262 G272:I272 G141 G146:I146 G152:I152 G150:I150 G156:I156 G154:I154 G158:I158 G160:I160 G148:I148 G209:I210 G199:I199 G197:I197 G203:I203 G201:I201 G207:I207 G205:I205 G266 G276:I276 G270 G274 G260:I260 G254 G264:I264 G330:I330 G301:I301 G295 G305:I305 G299 G309:I309 G303 G313:I313 G307 G317:I317 G323:I323 G325:I325 G162:I162 G167:I167 G164:I165 G175:I175 G172:I172 G177:I177 G169:I170 G185:I185 G182:I182 G187 G180:I180 G191:I191 G195:I195 G193:I193 G215:I215 G212:I212 G217 G221 G327 G311 G321:I321 G315 G319 G280:I281 G278:I278 G283 G293:I293 G287 G297:I297 G291 G332:I332 G334:I335 G337 G347:I347 G345:I345 G341 G349 G353 G419:I419 G417 G413 G421 G397 G377 G415:I415 G425 G429:I429 G433:I433 G357 G411:I411 G381 G365 G361 G373 G393 G401 G369 G409 G403:I403 G389 G435:I435 G437 G385 G405 G441"/>
    <dataValidation allowBlank="1" showInputMessage="1" showErrorMessage="1" promptTitle="Benefit#1 Description Example" prompt="Benefit Description for Entry #1 is listed here." sqref="J15 J217 J323 J417"/>
    <dataValidation allowBlank="1" showInputMessage="1" showErrorMessage="1" promptTitle="Benefit #1--Payment by Check" prompt="If payment type for benefit #1 was by check, this box would contain an x." sqref="K15 K217 K323 K417"/>
    <dataValidation allowBlank="1" showInputMessage="1" showErrorMessage="1" promptTitle="Benefit #1-- Payment in-kind" prompt="Since the payment type for benefit #1 was in-kind, this box contains an x." sqref="L15 L217 L323 L417"/>
    <dataValidation allowBlank="1" showInputMessage="1" showErrorMessage="1" promptTitle="Benefit #1 Total Amount Example" prompt="The total amount of Benefit #1 is entered here." sqref="M15 M217 M323 M417"/>
    <dataValidation allowBlank="1" showInputMessage="1" showErrorMessage="1" promptTitle="Benefit #2 Description Example" prompt="Benefit #2 description is listed here" sqref="J16 J218 J288 J308 J304 J300 J312 J316 J320 J324 J418"/>
    <dataValidation allowBlank="1" showInputMessage="1" showErrorMessage="1" promptTitle="Benefit #3 Description Example" prompt="Benefit #3 description is listed here" sqref="J17 J219 J325 J419"/>
    <dataValidation allowBlank="1" showInputMessage="1" showErrorMessage="1" promptTitle="Benefit #2-- Payment by Check" prompt="Since benefit #2 was paid by check, this box contains an x." sqref="K16 K218 L288 K324 K418"/>
    <dataValidation allowBlank="1" showInputMessage="1" showErrorMessage="1" promptTitle="Benefit #3-- Payment by Check" prompt="If payment type for benefit #3 was by check, this box would contain an x." sqref="K17 K219 K325 K419"/>
    <dataValidation allowBlank="1" showInputMessage="1" showErrorMessage="1" promptTitle="Benefit #3-- Payment in-kind" prompt="Since the payment type for benefit #3 was in-kind, this box contains an x." sqref="L17 L219 L325 L419"/>
    <dataValidation allowBlank="1" showInputMessage="1" showErrorMessage="1" promptTitle="Payment #2-- Payment in-kind" prompt="If payment type for benefit #2 was in-kind, this box would contain an x." sqref="L16 L218 L324 L418"/>
    <dataValidation allowBlank="1" showInputMessage="1" showErrorMessage="1" promptTitle="Benefit #2 Total Amount Example" prompt="The total amount of Benefit #2 is entered here." sqref="M16 M218 M324 M418"/>
    <dataValidation allowBlank="1" showInputMessage="1" showErrorMessage="1" promptTitle="Benefit #3 Total Amount Example" prompt="The total amount of Benefit #3 is entered here." sqref="M17 M219 M325 M419"/>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323">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D325">
      <formula1>40179</formula1>
      <formula2>73051</formula2>
    </dataValidation>
    <dataValidation allowBlank="1" showInputMessage="1" showErrorMessage="1" promptTitle="Traveler Name Example" prompt="Traveler Name Listed Here" sqref="B15 B323"/>
    <dataValidation allowBlank="1" showInputMessage="1" showErrorMessage="1" promptTitle="Event Description Example" prompt="Event Description listed here._x000a_" sqref="C15 C323 C433"/>
    <dataValidation allowBlank="1" showInputMessage="1" showErrorMessage="1" promptTitle="Location Example" prompt="Location listed here." sqref="F15 F323"/>
    <dataValidation allowBlank="1" showInputMessage="1" showErrorMessage="1" promptTitle="Traveler Title Example" prompt="Traveler Title is listed here." sqref="B17 B325"/>
    <dataValidation allowBlank="1" showInputMessage="1" showErrorMessage="1" promptTitle="Event Sponsor Example" prompt="Event Sponsor is listed here." sqref="C17 C325 C329"/>
    <dataValidation allowBlank="1" showInputMessage="1" showErrorMessage="1" promptTitle="Travel Date(s) Example" prompt="Travel Date is listed here." sqref="F17 F325 F359 F411 F407 F363 F367 F371 F375 F399 F383 F387 F391 F395 F379 F415 F419"/>
    <dataValidation allowBlank="1" showInputMessage="1" showErrorMessage="1" promptTitle="Indicate Negative Report" prompt="Mark an X in this box if you are submitting a negative report for this reporting period." sqref="K9:K11"/>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s>
  <printOptions horizontalCentered="1" verticalCentered="1"/>
  <pageMargins left="0.5" right="0.5" top="0.3" bottom="0.4"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44"/>
  <sheetViews>
    <sheetView topLeftCell="A410" workbookViewId="0">
      <selection activeCell="G409" sqref="G409:I409"/>
    </sheetView>
  </sheetViews>
  <sheetFormatPr defaultColWidth="8.7109375" defaultRowHeight="15"/>
  <cols>
    <col min="1" max="1" width="3.7109375" style="39" customWidth="1"/>
    <col min="2" max="2" width="16.42578125" style="39" customWidth="1"/>
    <col min="3" max="3" width="16.7109375" style="39" customWidth="1"/>
    <col min="4" max="4" width="15.85546875" style="39" customWidth="1"/>
    <col min="5" max="5" width="14.5703125" style="39" hidden="1" customWidth="1"/>
    <col min="6" max="6" width="16.5703125" style="39" customWidth="1"/>
    <col min="7" max="7" width="3.140625" style="39" customWidth="1"/>
    <col min="8" max="8" width="11" style="39" customWidth="1"/>
    <col min="9" max="9" width="3.140625" style="39" customWidth="1"/>
    <col min="10" max="10" width="11.85546875" style="39" customWidth="1"/>
    <col min="11" max="11" width="8.42578125" style="39" customWidth="1"/>
    <col min="12" max="12" width="8.5703125" style="39" bestFit="1" customWidth="1"/>
    <col min="13" max="13" width="12.28515625" style="39" customWidth="1"/>
    <col min="14" max="14" width="3.7109375" style="39" customWidth="1"/>
    <col min="15" max="15" width="9.140625" style="39" customWidth="1"/>
    <col min="16" max="16" width="19.85546875" style="39" customWidth="1"/>
    <col min="17" max="17" width="11.28515625" style="39" customWidth="1"/>
    <col min="18" max="16384" width="8.7109375" style="39"/>
  </cols>
  <sheetData>
    <row r="1" spans="1:14" hidden="1"/>
    <row r="2" spans="1:14" ht="14.25" customHeight="1">
      <c r="J2" s="632" t="s">
        <v>0</v>
      </c>
      <c r="K2" s="551"/>
      <c r="L2" s="551"/>
      <c r="M2" s="551"/>
    </row>
    <row r="3" spans="1:14">
      <c r="J3" s="551"/>
      <c r="K3" s="551"/>
      <c r="L3" s="551"/>
      <c r="M3" s="551"/>
    </row>
    <row r="4" spans="1:14" ht="15.75" thickBot="1">
      <c r="A4" s="42"/>
      <c r="B4" s="42"/>
      <c r="C4" s="42"/>
      <c r="D4" s="42"/>
      <c r="E4" s="42"/>
      <c r="F4" s="42"/>
      <c r="G4" s="42"/>
      <c r="H4" s="42"/>
      <c r="I4" s="42"/>
      <c r="J4" s="633"/>
      <c r="K4" s="633"/>
      <c r="L4" s="633"/>
      <c r="M4" s="633"/>
    </row>
    <row r="5" spans="1:14" ht="30" customHeight="1" thickTop="1" thickBot="1">
      <c r="A5" s="634" t="s">
        <v>236</v>
      </c>
      <c r="B5" s="635"/>
      <c r="C5" s="635"/>
      <c r="D5" s="635"/>
      <c r="E5" s="635"/>
      <c r="F5" s="635"/>
      <c r="G5" s="635"/>
      <c r="H5" s="635"/>
      <c r="I5" s="635"/>
      <c r="J5" s="635"/>
      <c r="K5" s="635"/>
      <c r="L5" s="635"/>
      <c r="M5" s="636"/>
      <c r="N5" s="42"/>
    </row>
    <row r="6" spans="1:14">
      <c r="A6" s="799" t="s">
        <v>1</v>
      </c>
      <c r="B6" s="639" t="s">
        <v>2</v>
      </c>
      <c r="C6" s="640"/>
      <c r="D6" s="640"/>
      <c r="E6" s="640"/>
      <c r="F6" s="640"/>
      <c r="G6" s="640"/>
      <c r="H6" s="640"/>
      <c r="I6" s="640"/>
      <c r="J6" s="641"/>
      <c r="K6" s="2" t="s">
        <v>3</v>
      </c>
      <c r="L6" s="2" t="s">
        <v>4</v>
      </c>
      <c r="M6" s="26" t="s">
        <v>5</v>
      </c>
      <c r="N6" s="42"/>
    </row>
    <row r="7" spans="1:14" ht="15.75" thickBot="1">
      <c r="A7" s="637"/>
      <c r="B7" s="642"/>
      <c r="C7" s="643"/>
      <c r="D7" s="643"/>
      <c r="E7" s="643"/>
      <c r="F7" s="643"/>
      <c r="G7" s="643"/>
      <c r="H7" s="643"/>
      <c r="I7" s="643"/>
      <c r="J7" s="644"/>
      <c r="K7" s="3">
        <v>3</v>
      </c>
      <c r="L7" s="4">
        <v>4</v>
      </c>
      <c r="M7" s="5">
        <v>2018</v>
      </c>
      <c r="N7" s="37"/>
    </row>
    <row r="8" spans="1:14" ht="27.75" customHeight="1" thickTop="1" thickBot="1">
      <c r="A8" s="637"/>
      <c r="B8" s="674" t="s">
        <v>6</v>
      </c>
      <c r="C8" s="675"/>
      <c r="D8" s="675"/>
      <c r="E8" s="675"/>
      <c r="F8" s="675"/>
      <c r="G8" s="675"/>
      <c r="H8" s="675"/>
      <c r="I8" s="675"/>
      <c r="J8" s="675"/>
      <c r="K8" s="675"/>
      <c r="L8" s="675"/>
      <c r="M8" s="676"/>
      <c r="N8" s="38"/>
    </row>
    <row r="9" spans="1:14" ht="18">
      <c r="A9" s="637"/>
      <c r="B9" s="645" t="s">
        <v>93</v>
      </c>
      <c r="C9" s="646"/>
      <c r="D9" s="646"/>
      <c r="E9" s="646"/>
      <c r="F9" s="647"/>
      <c r="G9" s="677"/>
      <c r="H9" s="652" t="s">
        <v>132</v>
      </c>
      <c r="I9" s="680" t="s">
        <v>42</v>
      </c>
      <c r="J9" s="654" t="s">
        <v>133</v>
      </c>
      <c r="K9" s="617"/>
      <c r="L9" s="622" t="s">
        <v>15</v>
      </c>
      <c r="M9" s="623"/>
      <c r="N9" s="42"/>
    </row>
    <row r="10" spans="1:14" ht="15.75">
      <c r="A10" s="637"/>
      <c r="B10" s="648"/>
      <c r="C10" s="537"/>
      <c r="D10" s="537"/>
      <c r="E10" s="537"/>
      <c r="F10" s="649"/>
      <c r="G10" s="678"/>
      <c r="H10" s="653"/>
      <c r="I10" s="681"/>
      <c r="J10" s="655"/>
      <c r="K10" s="618"/>
      <c r="L10" s="624"/>
      <c r="M10" s="625"/>
      <c r="N10" s="42"/>
    </row>
    <row r="11" spans="1:14" ht="39.75" thickBot="1">
      <c r="A11" s="637"/>
      <c r="B11" s="6" t="s">
        <v>7</v>
      </c>
      <c r="C11" s="7" t="s">
        <v>94</v>
      </c>
      <c r="D11" s="650" t="s">
        <v>95</v>
      </c>
      <c r="E11" s="650"/>
      <c r="F11" s="651"/>
      <c r="G11" s="679"/>
      <c r="H11" s="653"/>
      <c r="I11" s="682"/>
      <c r="J11" s="656"/>
      <c r="K11" s="619"/>
      <c r="L11" s="626"/>
      <c r="M11" s="627"/>
      <c r="N11" s="42"/>
    </row>
    <row r="12" spans="1:14" ht="15.75" thickTop="1">
      <c r="A12" s="637"/>
      <c r="B12" s="657" t="s">
        <v>8</v>
      </c>
      <c r="C12" s="659" t="s">
        <v>9</v>
      </c>
      <c r="D12" s="661" t="s">
        <v>10</v>
      </c>
      <c r="E12" s="663" t="s">
        <v>11</v>
      </c>
      <c r="F12" s="664"/>
      <c r="G12" s="667" t="s">
        <v>12</v>
      </c>
      <c r="H12" s="668"/>
      <c r="I12" s="669"/>
      <c r="J12" s="659" t="s">
        <v>13</v>
      </c>
      <c r="K12" s="620" t="s">
        <v>14</v>
      </c>
      <c r="L12" s="628" t="s">
        <v>16</v>
      </c>
      <c r="M12" s="630" t="s">
        <v>17</v>
      </c>
      <c r="N12" s="42"/>
    </row>
    <row r="13" spans="1:14" ht="33.75" customHeight="1" thickBot="1">
      <c r="A13" s="638"/>
      <c r="B13" s="658"/>
      <c r="C13" s="660"/>
      <c r="D13" s="662"/>
      <c r="E13" s="665"/>
      <c r="F13" s="666"/>
      <c r="G13" s="670"/>
      <c r="H13" s="671"/>
      <c r="I13" s="672"/>
      <c r="J13" s="673"/>
      <c r="K13" s="621"/>
      <c r="L13" s="629"/>
      <c r="M13" s="631"/>
      <c r="N13" s="42"/>
    </row>
    <row r="14" spans="1:14" ht="23.25" thickTop="1">
      <c r="A14" s="613" t="s">
        <v>18</v>
      </c>
      <c r="B14" s="40" t="s">
        <v>19</v>
      </c>
      <c r="C14" s="40" t="s">
        <v>20</v>
      </c>
      <c r="D14" s="40" t="s">
        <v>21</v>
      </c>
      <c r="E14" s="542" t="s">
        <v>22</v>
      </c>
      <c r="F14" s="542"/>
      <c r="G14" s="523" t="s">
        <v>12</v>
      </c>
      <c r="H14" s="528"/>
      <c r="I14" s="43"/>
      <c r="J14" s="29"/>
      <c r="K14" s="29"/>
      <c r="L14" s="29"/>
      <c r="M14" s="28"/>
      <c r="N14" s="42"/>
    </row>
    <row r="15" spans="1:14" ht="22.5">
      <c r="A15" s="797"/>
      <c r="B15" s="9" t="s">
        <v>23</v>
      </c>
      <c r="C15" s="9" t="s">
        <v>24</v>
      </c>
      <c r="D15" s="10">
        <v>40766</v>
      </c>
      <c r="E15" s="11"/>
      <c r="F15" s="12" t="s">
        <v>25</v>
      </c>
      <c r="G15" s="607" t="s">
        <v>26</v>
      </c>
      <c r="H15" s="608"/>
      <c r="I15" s="609"/>
      <c r="J15" s="13" t="s">
        <v>27</v>
      </c>
      <c r="K15" s="14"/>
      <c r="L15" s="15" t="s">
        <v>28</v>
      </c>
      <c r="M15" s="31">
        <v>280</v>
      </c>
      <c r="N15" s="42"/>
    </row>
    <row r="16" spans="1:14" ht="22.5">
      <c r="A16" s="797"/>
      <c r="B16" s="41" t="s">
        <v>29</v>
      </c>
      <c r="C16" s="41" t="s">
        <v>30</v>
      </c>
      <c r="D16" s="41" t="s">
        <v>31</v>
      </c>
      <c r="E16" s="616" t="s">
        <v>32</v>
      </c>
      <c r="F16" s="616"/>
      <c r="G16" s="610"/>
      <c r="H16" s="611"/>
      <c r="I16" s="612"/>
      <c r="J16" s="16" t="s">
        <v>33</v>
      </c>
      <c r="K16" s="15" t="s">
        <v>28</v>
      </c>
      <c r="L16" s="17"/>
      <c r="M16" s="32">
        <v>825</v>
      </c>
      <c r="N16" s="42"/>
    </row>
    <row r="17" spans="1:14" ht="15.75" thickBot="1">
      <c r="A17" s="798"/>
      <c r="B17" s="18" t="s">
        <v>34</v>
      </c>
      <c r="C17" s="18" t="s">
        <v>35</v>
      </c>
      <c r="D17" s="10">
        <v>40767</v>
      </c>
      <c r="E17" s="19" t="s">
        <v>36</v>
      </c>
      <c r="F17" s="12" t="s">
        <v>37</v>
      </c>
      <c r="G17" s="539"/>
      <c r="H17" s="540"/>
      <c r="I17" s="541"/>
      <c r="J17" s="20" t="s">
        <v>38</v>
      </c>
      <c r="K17" s="21"/>
      <c r="L17" s="21" t="s">
        <v>28</v>
      </c>
      <c r="M17" s="27">
        <v>120</v>
      </c>
      <c r="N17" s="42"/>
    </row>
    <row r="18" spans="1:14" s="152" customFormat="1" ht="24" customHeight="1" thickTop="1" thickBot="1">
      <c r="A18" s="518">
        <f>A17+201</f>
        <v>201</v>
      </c>
      <c r="B18" s="111" t="s">
        <v>19</v>
      </c>
      <c r="C18" s="111" t="s">
        <v>20</v>
      </c>
      <c r="D18" s="111" t="s">
        <v>21</v>
      </c>
      <c r="E18" s="602" t="s">
        <v>22</v>
      </c>
      <c r="F18" s="603"/>
      <c r="G18" s="602" t="s">
        <v>12</v>
      </c>
      <c r="H18" s="604"/>
      <c r="I18" s="174"/>
      <c r="J18" s="175" t="s">
        <v>39</v>
      </c>
      <c r="K18" s="99"/>
      <c r="L18" s="99"/>
      <c r="M18" s="394"/>
    </row>
    <row r="19" spans="1:14" s="152" customFormat="1" ht="15.75" thickBot="1">
      <c r="A19" s="521"/>
      <c r="B19" s="89" t="s">
        <v>1085</v>
      </c>
      <c r="C19" s="89" t="s">
        <v>1086</v>
      </c>
      <c r="D19" s="129">
        <v>43357</v>
      </c>
      <c r="E19" s="89"/>
      <c r="F19" s="89" t="s">
        <v>1087</v>
      </c>
      <c r="G19" s="524" t="s">
        <v>1088</v>
      </c>
      <c r="H19" s="585"/>
      <c r="I19" s="586"/>
      <c r="J19" s="179" t="s">
        <v>108</v>
      </c>
      <c r="K19" s="87"/>
      <c r="L19" s="87" t="s">
        <v>42</v>
      </c>
      <c r="M19" s="397">
        <v>248</v>
      </c>
    </row>
    <row r="20" spans="1:14" s="152" customFormat="1" ht="23.25" thickBot="1">
      <c r="A20" s="521"/>
      <c r="B20" s="181" t="s">
        <v>29</v>
      </c>
      <c r="C20" s="181" t="s">
        <v>30</v>
      </c>
      <c r="D20" s="181" t="s">
        <v>31</v>
      </c>
      <c r="E20" s="605" t="s">
        <v>32</v>
      </c>
      <c r="F20" s="606"/>
      <c r="G20" s="529"/>
      <c r="H20" s="530"/>
      <c r="I20" s="531"/>
      <c r="J20" s="182" t="s">
        <v>40</v>
      </c>
      <c r="K20" s="90"/>
      <c r="L20" s="90"/>
      <c r="M20" s="398"/>
    </row>
    <row r="21" spans="1:14" s="152" customFormat="1" ht="15.75" thickBot="1">
      <c r="A21" s="522"/>
      <c r="B21" s="194" t="s">
        <v>168</v>
      </c>
      <c r="C21" s="194" t="s">
        <v>1088</v>
      </c>
      <c r="D21" s="195">
        <v>43360</v>
      </c>
      <c r="E21" s="233" t="s">
        <v>36</v>
      </c>
      <c r="F21" s="197" t="s">
        <v>1089</v>
      </c>
      <c r="G21" s="539"/>
      <c r="H21" s="540"/>
      <c r="I21" s="541"/>
      <c r="J21" s="399" t="s">
        <v>41</v>
      </c>
      <c r="K21" s="110"/>
      <c r="L21" s="110"/>
      <c r="M21" s="400"/>
    </row>
    <row r="22" spans="1:14" s="152" customFormat="1" ht="24" customHeight="1" thickTop="1" thickBot="1">
      <c r="A22" s="518">
        <f>A21+202</f>
        <v>202</v>
      </c>
      <c r="B22" s="111" t="s">
        <v>19</v>
      </c>
      <c r="C22" s="111" t="s">
        <v>20</v>
      </c>
      <c r="D22" s="111" t="s">
        <v>21</v>
      </c>
      <c r="E22" s="811" t="s">
        <v>22</v>
      </c>
      <c r="F22" s="811"/>
      <c r="G22" s="811" t="s">
        <v>12</v>
      </c>
      <c r="H22" s="602"/>
      <c r="I22" s="174"/>
      <c r="J22" s="175" t="s">
        <v>39</v>
      </c>
      <c r="K22" s="99"/>
      <c r="L22" s="99"/>
      <c r="M22" s="401"/>
    </row>
    <row r="23" spans="1:14" s="152" customFormat="1" ht="15.75" thickBot="1">
      <c r="A23" s="521"/>
      <c r="B23" s="89" t="s">
        <v>1090</v>
      </c>
      <c r="C23" s="89" t="s">
        <v>1086</v>
      </c>
      <c r="D23" s="129">
        <v>43357</v>
      </c>
      <c r="E23" s="89"/>
      <c r="F23" s="89" t="s">
        <v>1087</v>
      </c>
      <c r="G23" s="524" t="s">
        <v>1088</v>
      </c>
      <c r="H23" s="823"/>
      <c r="I23" s="824"/>
      <c r="J23" s="179" t="s">
        <v>108</v>
      </c>
      <c r="K23" s="87"/>
      <c r="L23" s="87" t="s">
        <v>42</v>
      </c>
      <c r="M23" s="395">
        <v>248</v>
      </c>
    </row>
    <row r="24" spans="1:14" s="152" customFormat="1" ht="23.25" thickBot="1">
      <c r="A24" s="521"/>
      <c r="B24" s="181" t="s">
        <v>29</v>
      </c>
      <c r="C24" s="181" t="s">
        <v>30</v>
      </c>
      <c r="D24" s="181" t="s">
        <v>31</v>
      </c>
      <c r="E24" s="815" t="s">
        <v>32</v>
      </c>
      <c r="F24" s="815"/>
      <c r="G24" s="529"/>
      <c r="H24" s="530"/>
      <c r="I24" s="531"/>
      <c r="J24" s="182" t="s">
        <v>40</v>
      </c>
      <c r="K24" s="90"/>
      <c r="L24" s="90"/>
      <c r="M24" s="402"/>
    </row>
    <row r="25" spans="1:14" s="152" customFormat="1" ht="15.75" thickBot="1">
      <c r="A25" s="522"/>
      <c r="B25" s="185" t="s">
        <v>1091</v>
      </c>
      <c r="C25" s="185" t="s">
        <v>1088</v>
      </c>
      <c r="D25" s="195">
        <v>43360</v>
      </c>
      <c r="E25" s="233" t="s">
        <v>36</v>
      </c>
      <c r="F25" s="403" t="s">
        <v>1089</v>
      </c>
      <c r="G25" s="539"/>
      <c r="H25" s="540"/>
      <c r="I25" s="541"/>
      <c r="J25" s="182" t="s">
        <v>41</v>
      </c>
      <c r="K25" s="90"/>
      <c r="L25" s="90"/>
      <c r="M25" s="402"/>
    </row>
    <row r="26" spans="1:14" s="152" customFormat="1" ht="24" customHeight="1" thickTop="1" thickBot="1">
      <c r="A26" s="518">
        <f>A25+203</f>
        <v>203</v>
      </c>
      <c r="B26" s="111" t="s">
        <v>19</v>
      </c>
      <c r="C26" s="111" t="s">
        <v>20</v>
      </c>
      <c r="D26" s="111" t="s">
        <v>21</v>
      </c>
      <c r="E26" s="811" t="s">
        <v>22</v>
      </c>
      <c r="F26" s="811"/>
      <c r="G26" s="811" t="s">
        <v>12</v>
      </c>
      <c r="H26" s="602"/>
      <c r="I26" s="174"/>
      <c r="J26" s="175" t="s">
        <v>39</v>
      </c>
      <c r="K26" s="99"/>
      <c r="L26" s="99"/>
      <c r="M26" s="401"/>
    </row>
    <row r="27" spans="1:14" s="152" customFormat="1" ht="15.75" thickBot="1">
      <c r="A27" s="521"/>
      <c r="B27" s="89" t="s">
        <v>1092</v>
      </c>
      <c r="C27" s="89" t="s">
        <v>1086</v>
      </c>
      <c r="D27" s="129">
        <v>43357</v>
      </c>
      <c r="E27" s="89"/>
      <c r="F27" s="89" t="s">
        <v>1087</v>
      </c>
      <c r="G27" s="524" t="s">
        <v>1088</v>
      </c>
      <c r="H27" s="823"/>
      <c r="I27" s="824"/>
      <c r="J27" s="179" t="s">
        <v>108</v>
      </c>
      <c r="K27" s="87"/>
      <c r="L27" s="87" t="s">
        <v>42</v>
      </c>
      <c r="M27" s="395">
        <v>248</v>
      </c>
    </row>
    <row r="28" spans="1:14" s="152" customFormat="1" ht="23.25" thickBot="1">
      <c r="A28" s="521"/>
      <c r="B28" s="181" t="s">
        <v>29</v>
      </c>
      <c r="C28" s="181" t="s">
        <v>30</v>
      </c>
      <c r="D28" s="181" t="s">
        <v>31</v>
      </c>
      <c r="E28" s="815" t="s">
        <v>32</v>
      </c>
      <c r="F28" s="815"/>
      <c r="G28" s="529"/>
      <c r="H28" s="530"/>
      <c r="I28" s="531"/>
      <c r="J28" s="182" t="s">
        <v>40</v>
      </c>
      <c r="K28" s="90"/>
      <c r="L28" s="90"/>
      <c r="M28" s="402"/>
    </row>
    <row r="29" spans="1:14" s="152" customFormat="1" ht="15.75" thickBot="1">
      <c r="A29" s="522"/>
      <c r="B29" s="185" t="s">
        <v>1091</v>
      </c>
      <c r="C29" s="185" t="s">
        <v>1088</v>
      </c>
      <c r="D29" s="195">
        <v>43360</v>
      </c>
      <c r="E29" s="233" t="s">
        <v>36</v>
      </c>
      <c r="F29" s="403" t="s">
        <v>1089</v>
      </c>
      <c r="G29" s="539"/>
      <c r="H29" s="540"/>
      <c r="I29" s="541"/>
      <c r="J29" s="182" t="s">
        <v>41</v>
      </c>
      <c r="K29" s="90"/>
      <c r="L29" s="90"/>
      <c r="M29" s="402"/>
    </row>
    <row r="30" spans="1:14" s="152" customFormat="1" ht="24" customHeight="1" thickTop="1" thickBot="1">
      <c r="A30" s="518">
        <f>A29+204</f>
        <v>204</v>
      </c>
      <c r="B30" s="111" t="s">
        <v>19</v>
      </c>
      <c r="C30" s="111" t="s">
        <v>20</v>
      </c>
      <c r="D30" s="111" t="s">
        <v>21</v>
      </c>
      <c r="E30" s="811" t="s">
        <v>22</v>
      </c>
      <c r="F30" s="811"/>
      <c r="G30" s="811" t="s">
        <v>12</v>
      </c>
      <c r="H30" s="602"/>
      <c r="I30" s="174"/>
      <c r="J30" s="175" t="s">
        <v>39</v>
      </c>
      <c r="K30" s="99"/>
      <c r="L30" s="99"/>
      <c r="M30" s="401"/>
    </row>
    <row r="31" spans="1:14" s="152" customFormat="1" ht="15.75" thickBot="1">
      <c r="A31" s="521"/>
      <c r="B31" s="89" t="s">
        <v>1093</v>
      </c>
      <c r="C31" s="89" t="s">
        <v>1086</v>
      </c>
      <c r="D31" s="129">
        <v>43357</v>
      </c>
      <c r="E31" s="89"/>
      <c r="F31" s="89" t="s">
        <v>1087</v>
      </c>
      <c r="G31" s="524" t="s">
        <v>1088</v>
      </c>
      <c r="H31" s="823"/>
      <c r="I31" s="824"/>
      <c r="J31" s="179" t="s">
        <v>108</v>
      </c>
      <c r="K31" s="87"/>
      <c r="L31" s="87" t="s">
        <v>42</v>
      </c>
      <c r="M31" s="395">
        <v>248</v>
      </c>
    </row>
    <row r="32" spans="1:14" s="152" customFormat="1" ht="23.25" thickBot="1">
      <c r="A32" s="521"/>
      <c r="B32" s="181" t="s">
        <v>29</v>
      </c>
      <c r="C32" s="181" t="s">
        <v>30</v>
      </c>
      <c r="D32" s="181" t="s">
        <v>31</v>
      </c>
      <c r="E32" s="815" t="s">
        <v>32</v>
      </c>
      <c r="F32" s="815"/>
      <c r="G32" s="529"/>
      <c r="H32" s="530"/>
      <c r="I32" s="531"/>
      <c r="J32" s="182" t="s">
        <v>40</v>
      </c>
      <c r="K32" s="90"/>
      <c r="L32" s="90"/>
      <c r="M32" s="402"/>
    </row>
    <row r="33" spans="1:13" s="152" customFormat="1" ht="15.75" thickBot="1">
      <c r="A33" s="522"/>
      <c r="B33" s="194" t="s">
        <v>1091</v>
      </c>
      <c r="C33" s="194" t="s">
        <v>1088</v>
      </c>
      <c r="D33" s="195">
        <v>43360</v>
      </c>
      <c r="E33" s="233" t="s">
        <v>36</v>
      </c>
      <c r="F33" s="197" t="s">
        <v>1089</v>
      </c>
      <c r="G33" s="539"/>
      <c r="H33" s="540"/>
      <c r="I33" s="541"/>
      <c r="J33" s="399" t="s">
        <v>41</v>
      </c>
      <c r="K33" s="110"/>
      <c r="L33" s="110"/>
      <c r="M33" s="404"/>
    </row>
    <row r="34" spans="1:13" s="152" customFormat="1" ht="24" customHeight="1" thickTop="1" thickBot="1">
      <c r="A34" s="518">
        <f>A33+205</f>
        <v>205</v>
      </c>
      <c r="B34" s="111" t="s">
        <v>19</v>
      </c>
      <c r="C34" s="111" t="s">
        <v>20</v>
      </c>
      <c r="D34" s="111" t="s">
        <v>21</v>
      </c>
      <c r="E34" s="811" t="s">
        <v>22</v>
      </c>
      <c r="F34" s="811"/>
      <c r="G34" s="811" t="s">
        <v>12</v>
      </c>
      <c r="H34" s="602"/>
      <c r="I34" s="174"/>
      <c r="J34" s="175" t="s">
        <v>39</v>
      </c>
      <c r="K34" s="99"/>
      <c r="L34" s="99"/>
      <c r="M34" s="401"/>
    </row>
    <row r="35" spans="1:13" s="152" customFormat="1" ht="15.75" thickBot="1">
      <c r="A35" s="521"/>
      <c r="B35" s="89" t="s">
        <v>1094</v>
      </c>
      <c r="C35" s="89" t="s">
        <v>1086</v>
      </c>
      <c r="D35" s="129">
        <v>43357</v>
      </c>
      <c r="E35" s="89"/>
      <c r="F35" s="89" t="s">
        <v>1087</v>
      </c>
      <c r="G35" s="524" t="s">
        <v>1088</v>
      </c>
      <c r="H35" s="823"/>
      <c r="I35" s="824"/>
      <c r="J35" s="179" t="s">
        <v>108</v>
      </c>
      <c r="K35" s="87"/>
      <c r="L35" s="87" t="s">
        <v>42</v>
      </c>
      <c r="M35" s="395">
        <v>248</v>
      </c>
    </row>
    <row r="36" spans="1:13" s="152" customFormat="1" ht="23.25" thickBot="1">
      <c r="A36" s="521"/>
      <c r="B36" s="181" t="s">
        <v>29</v>
      </c>
      <c r="C36" s="181" t="s">
        <v>30</v>
      </c>
      <c r="D36" s="181" t="s">
        <v>31</v>
      </c>
      <c r="E36" s="815" t="s">
        <v>32</v>
      </c>
      <c r="F36" s="815"/>
      <c r="G36" s="529"/>
      <c r="H36" s="530"/>
      <c r="I36" s="531"/>
      <c r="J36" s="182" t="s">
        <v>40</v>
      </c>
      <c r="K36" s="90"/>
      <c r="L36" s="90"/>
      <c r="M36" s="402"/>
    </row>
    <row r="37" spans="1:13" s="152" customFormat="1" ht="15.75" thickBot="1">
      <c r="A37" s="522"/>
      <c r="B37" s="185" t="s">
        <v>1095</v>
      </c>
      <c r="C37" s="185" t="s">
        <v>1088</v>
      </c>
      <c r="D37" s="195">
        <v>43360</v>
      </c>
      <c r="E37" s="233" t="s">
        <v>36</v>
      </c>
      <c r="F37" s="403" t="s">
        <v>1089</v>
      </c>
      <c r="G37" s="539"/>
      <c r="H37" s="540"/>
      <c r="I37" s="541"/>
      <c r="J37" s="182" t="s">
        <v>41</v>
      </c>
      <c r="K37" s="90"/>
      <c r="L37" s="90"/>
      <c r="M37" s="402"/>
    </row>
    <row r="38" spans="1:13" s="152" customFormat="1" ht="24" customHeight="1" thickTop="1" thickBot="1">
      <c r="A38" s="518">
        <f>A37+206</f>
        <v>206</v>
      </c>
      <c r="B38" s="111" t="s">
        <v>19</v>
      </c>
      <c r="C38" s="111" t="s">
        <v>20</v>
      </c>
      <c r="D38" s="111" t="s">
        <v>21</v>
      </c>
      <c r="E38" s="811" t="s">
        <v>22</v>
      </c>
      <c r="F38" s="811"/>
      <c r="G38" s="811" t="s">
        <v>12</v>
      </c>
      <c r="H38" s="602"/>
      <c r="I38" s="174"/>
      <c r="J38" s="175" t="s">
        <v>39</v>
      </c>
      <c r="K38" s="99"/>
      <c r="L38" s="99"/>
      <c r="M38" s="401"/>
    </row>
    <row r="39" spans="1:13" s="152" customFormat="1" ht="15.75" thickBot="1">
      <c r="A39" s="521"/>
      <c r="B39" s="89" t="s">
        <v>1096</v>
      </c>
      <c r="C39" s="89" t="s">
        <v>1086</v>
      </c>
      <c r="D39" s="129">
        <v>43357</v>
      </c>
      <c r="E39" s="89"/>
      <c r="F39" s="89" t="s">
        <v>1087</v>
      </c>
      <c r="G39" s="524" t="s">
        <v>1088</v>
      </c>
      <c r="H39" s="823"/>
      <c r="I39" s="824"/>
      <c r="J39" s="179" t="s">
        <v>108</v>
      </c>
      <c r="K39" s="87"/>
      <c r="L39" s="87" t="s">
        <v>42</v>
      </c>
      <c r="M39" s="395">
        <v>82</v>
      </c>
    </row>
    <row r="40" spans="1:13" s="152" customFormat="1" ht="23.25" thickBot="1">
      <c r="A40" s="521"/>
      <c r="B40" s="181" t="s">
        <v>29</v>
      </c>
      <c r="C40" s="181" t="s">
        <v>30</v>
      </c>
      <c r="D40" s="181" t="s">
        <v>31</v>
      </c>
      <c r="E40" s="815" t="s">
        <v>32</v>
      </c>
      <c r="F40" s="815"/>
      <c r="G40" s="529"/>
      <c r="H40" s="530"/>
      <c r="I40" s="531"/>
      <c r="J40" s="182" t="s">
        <v>40</v>
      </c>
      <c r="K40" s="90"/>
      <c r="L40" s="90"/>
      <c r="M40" s="402"/>
    </row>
    <row r="41" spans="1:13" s="152" customFormat="1" ht="15.75" thickBot="1">
      <c r="A41" s="522"/>
      <c r="B41" s="185" t="s">
        <v>1095</v>
      </c>
      <c r="C41" s="185" t="s">
        <v>1088</v>
      </c>
      <c r="D41" s="195">
        <v>43360</v>
      </c>
      <c r="E41" s="233" t="s">
        <v>36</v>
      </c>
      <c r="F41" s="403" t="s">
        <v>1089</v>
      </c>
      <c r="G41" s="539"/>
      <c r="H41" s="540"/>
      <c r="I41" s="541"/>
      <c r="J41" s="182" t="s">
        <v>41</v>
      </c>
      <c r="K41" s="90"/>
      <c r="L41" s="90"/>
      <c r="M41" s="402"/>
    </row>
    <row r="42" spans="1:13" s="152" customFormat="1" ht="24" customHeight="1" thickTop="1" thickBot="1">
      <c r="A42" s="518">
        <f>A41+207</f>
        <v>207</v>
      </c>
      <c r="B42" s="111" t="s">
        <v>19</v>
      </c>
      <c r="C42" s="111" t="s">
        <v>20</v>
      </c>
      <c r="D42" s="111" t="s">
        <v>21</v>
      </c>
      <c r="E42" s="811" t="s">
        <v>22</v>
      </c>
      <c r="F42" s="811"/>
      <c r="G42" s="811" t="s">
        <v>12</v>
      </c>
      <c r="H42" s="602"/>
      <c r="I42" s="174"/>
      <c r="J42" s="175" t="s">
        <v>39</v>
      </c>
      <c r="K42" s="99"/>
      <c r="L42" s="99"/>
      <c r="M42" s="401"/>
    </row>
    <row r="43" spans="1:13" s="152" customFormat="1" ht="23.25" customHeight="1" thickBot="1">
      <c r="A43" s="521"/>
      <c r="B43" s="89" t="s">
        <v>1097</v>
      </c>
      <c r="C43" s="89" t="s">
        <v>567</v>
      </c>
      <c r="D43" s="129">
        <v>43257</v>
      </c>
      <c r="E43" s="89"/>
      <c r="F43" s="89" t="s">
        <v>194</v>
      </c>
      <c r="G43" s="524" t="s">
        <v>140</v>
      </c>
      <c r="H43" s="823"/>
      <c r="I43" s="824"/>
      <c r="J43" s="179" t="s">
        <v>108</v>
      </c>
      <c r="K43" s="87"/>
      <c r="L43" s="87" t="s">
        <v>42</v>
      </c>
      <c r="M43" s="395">
        <v>1136</v>
      </c>
    </row>
    <row r="44" spans="1:13" s="152" customFormat="1" ht="23.25" thickBot="1">
      <c r="A44" s="521"/>
      <c r="B44" s="181" t="s">
        <v>29</v>
      </c>
      <c r="C44" s="181" t="s">
        <v>30</v>
      </c>
      <c r="D44" s="181" t="s">
        <v>31</v>
      </c>
      <c r="E44" s="815" t="s">
        <v>32</v>
      </c>
      <c r="F44" s="815"/>
      <c r="G44" s="529"/>
      <c r="H44" s="530"/>
      <c r="I44" s="531"/>
      <c r="J44" s="182" t="s">
        <v>163</v>
      </c>
      <c r="K44" s="90" t="s">
        <v>42</v>
      </c>
      <c r="L44" s="90"/>
      <c r="M44" s="402">
        <v>459</v>
      </c>
    </row>
    <row r="45" spans="1:13" s="152" customFormat="1" ht="15.75" thickBot="1">
      <c r="A45" s="521"/>
      <c r="B45" s="181"/>
      <c r="C45" s="181"/>
      <c r="D45" s="181"/>
      <c r="E45" s="181"/>
      <c r="F45" s="181"/>
      <c r="G45" s="154"/>
      <c r="H45" s="155"/>
      <c r="I45" s="156"/>
      <c r="J45" s="182" t="s">
        <v>38</v>
      </c>
      <c r="K45" s="90"/>
      <c r="L45" s="90" t="s">
        <v>42</v>
      </c>
      <c r="M45" s="402">
        <v>468</v>
      </c>
    </row>
    <row r="46" spans="1:13" s="152" customFormat="1" ht="15.75" thickBot="1">
      <c r="A46" s="522"/>
      <c r="B46" s="185" t="s">
        <v>1098</v>
      </c>
      <c r="C46" s="185" t="s">
        <v>140</v>
      </c>
      <c r="D46" s="195">
        <v>43259</v>
      </c>
      <c r="E46" s="233" t="s">
        <v>36</v>
      </c>
      <c r="F46" s="403" t="s">
        <v>1099</v>
      </c>
      <c r="G46" s="539"/>
      <c r="H46" s="540"/>
      <c r="I46" s="541"/>
      <c r="J46" s="182" t="s">
        <v>141</v>
      </c>
      <c r="K46" s="90"/>
      <c r="L46" s="90" t="s">
        <v>42</v>
      </c>
      <c r="M46" s="402">
        <v>6000</v>
      </c>
    </row>
    <row r="47" spans="1:13" s="152" customFormat="1" ht="24" customHeight="1" thickTop="1" thickBot="1">
      <c r="A47" s="518">
        <f>A46+208</f>
        <v>208</v>
      </c>
      <c r="B47" s="111" t="s">
        <v>19</v>
      </c>
      <c r="C47" s="111" t="s">
        <v>20</v>
      </c>
      <c r="D47" s="111" t="s">
        <v>21</v>
      </c>
      <c r="E47" s="811" t="s">
        <v>22</v>
      </c>
      <c r="F47" s="811"/>
      <c r="G47" s="811" t="s">
        <v>12</v>
      </c>
      <c r="H47" s="602"/>
      <c r="I47" s="174"/>
      <c r="J47" s="175" t="s">
        <v>39</v>
      </c>
      <c r="K47" s="99"/>
      <c r="L47" s="99"/>
      <c r="M47" s="401"/>
    </row>
    <row r="48" spans="1:13" s="152" customFormat="1" ht="15.75" customHeight="1" thickBot="1">
      <c r="A48" s="521"/>
      <c r="B48" s="89" t="s">
        <v>1100</v>
      </c>
      <c r="C48" s="89" t="s">
        <v>1086</v>
      </c>
      <c r="D48" s="129">
        <v>43357</v>
      </c>
      <c r="E48" s="89"/>
      <c r="F48" s="89" t="s">
        <v>1087</v>
      </c>
      <c r="G48" s="524" t="s">
        <v>1088</v>
      </c>
      <c r="H48" s="823"/>
      <c r="I48" s="824"/>
      <c r="J48" s="179" t="s">
        <v>108</v>
      </c>
      <c r="K48" s="87"/>
      <c r="L48" s="87" t="s">
        <v>42</v>
      </c>
      <c r="M48" s="395">
        <v>82</v>
      </c>
    </row>
    <row r="49" spans="1:13" s="152" customFormat="1" ht="23.25" thickBot="1">
      <c r="A49" s="521"/>
      <c r="B49" s="181" t="s">
        <v>29</v>
      </c>
      <c r="C49" s="181" t="s">
        <v>30</v>
      </c>
      <c r="D49" s="181" t="s">
        <v>31</v>
      </c>
      <c r="E49" s="815" t="s">
        <v>32</v>
      </c>
      <c r="F49" s="815"/>
      <c r="G49" s="529"/>
      <c r="H49" s="530"/>
      <c r="I49" s="531"/>
      <c r="J49" s="182" t="s">
        <v>40</v>
      </c>
      <c r="K49" s="90"/>
      <c r="L49" s="90"/>
      <c r="M49" s="402"/>
    </row>
    <row r="50" spans="1:13" s="152" customFormat="1" ht="15.75" thickBot="1">
      <c r="A50" s="522"/>
      <c r="B50" s="185" t="s">
        <v>1101</v>
      </c>
      <c r="C50" s="185" t="s">
        <v>1088</v>
      </c>
      <c r="D50" s="195">
        <v>43360</v>
      </c>
      <c r="E50" s="233" t="s">
        <v>36</v>
      </c>
      <c r="F50" s="403" t="s">
        <v>1089</v>
      </c>
      <c r="G50" s="539"/>
      <c r="H50" s="540"/>
      <c r="I50" s="541"/>
      <c r="J50" s="182" t="s">
        <v>41</v>
      </c>
      <c r="K50" s="90"/>
      <c r="L50" s="90"/>
      <c r="M50" s="402"/>
    </row>
    <row r="51" spans="1:13" s="152" customFormat="1" ht="24" customHeight="1" thickTop="1" thickBot="1">
      <c r="A51" s="518">
        <f>A50+209</f>
        <v>209</v>
      </c>
      <c r="B51" s="111" t="s">
        <v>19</v>
      </c>
      <c r="C51" s="111" t="s">
        <v>20</v>
      </c>
      <c r="D51" s="111" t="s">
        <v>21</v>
      </c>
      <c r="E51" s="811" t="s">
        <v>22</v>
      </c>
      <c r="F51" s="811"/>
      <c r="G51" s="811" t="s">
        <v>12</v>
      </c>
      <c r="H51" s="602"/>
      <c r="I51" s="174"/>
      <c r="J51" s="175" t="s">
        <v>39</v>
      </c>
      <c r="K51" s="99"/>
      <c r="L51" s="99"/>
      <c r="M51" s="401"/>
    </row>
    <row r="52" spans="1:13" s="152" customFormat="1" ht="15.75" customHeight="1" thickBot="1">
      <c r="A52" s="521"/>
      <c r="B52" s="89" t="s">
        <v>1102</v>
      </c>
      <c r="C52" s="89" t="s">
        <v>1086</v>
      </c>
      <c r="D52" s="129">
        <v>43357</v>
      </c>
      <c r="E52" s="89"/>
      <c r="F52" s="89" t="s">
        <v>1087</v>
      </c>
      <c r="G52" s="524" t="s">
        <v>1088</v>
      </c>
      <c r="H52" s="823"/>
      <c r="I52" s="824"/>
      <c r="J52" s="179" t="s">
        <v>108</v>
      </c>
      <c r="K52" s="87"/>
      <c r="L52" s="87" t="s">
        <v>42</v>
      </c>
      <c r="M52" s="395">
        <v>248</v>
      </c>
    </row>
    <row r="53" spans="1:13" s="152" customFormat="1" ht="23.25" thickBot="1">
      <c r="A53" s="521"/>
      <c r="B53" s="181" t="s">
        <v>29</v>
      </c>
      <c r="C53" s="181" t="s">
        <v>30</v>
      </c>
      <c r="D53" s="181" t="s">
        <v>31</v>
      </c>
      <c r="E53" s="815" t="s">
        <v>32</v>
      </c>
      <c r="F53" s="815"/>
      <c r="G53" s="529"/>
      <c r="H53" s="530"/>
      <c r="I53" s="531"/>
      <c r="J53" s="182" t="s">
        <v>40</v>
      </c>
      <c r="K53" s="90"/>
      <c r="L53" s="90"/>
      <c r="M53" s="402"/>
    </row>
    <row r="54" spans="1:13" s="152" customFormat="1" ht="15.75" thickBot="1">
      <c r="A54" s="522"/>
      <c r="B54" s="185" t="s">
        <v>1103</v>
      </c>
      <c r="C54" s="185" t="s">
        <v>1088</v>
      </c>
      <c r="D54" s="195">
        <v>43360</v>
      </c>
      <c r="E54" s="233" t="s">
        <v>36</v>
      </c>
      <c r="F54" s="403" t="s">
        <v>1089</v>
      </c>
      <c r="G54" s="539"/>
      <c r="H54" s="540"/>
      <c r="I54" s="541"/>
      <c r="J54" s="182" t="s">
        <v>41</v>
      </c>
      <c r="K54" s="90"/>
      <c r="L54" s="90"/>
      <c r="M54" s="402"/>
    </row>
    <row r="55" spans="1:13" s="152" customFormat="1" ht="24" customHeight="1" thickTop="1" thickBot="1">
      <c r="A55" s="518">
        <f>A54+210</f>
        <v>210</v>
      </c>
      <c r="B55" s="111" t="s">
        <v>19</v>
      </c>
      <c r="C55" s="111" t="s">
        <v>20</v>
      </c>
      <c r="D55" s="111" t="s">
        <v>21</v>
      </c>
      <c r="E55" s="811" t="s">
        <v>22</v>
      </c>
      <c r="F55" s="811"/>
      <c r="G55" s="811" t="s">
        <v>12</v>
      </c>
      <c r="H55" s="602"/>
      <c r="I55" s="174"/>
      <c r="J55" s="175" t="s">
        <v>39</v>
      </c>
      <c r="K55" s="99"/>
      <c r="L55" s="99"/>
      <c r="M55" s="401"/>
    </row>
    <row r="56" spans="1:13" s="152" customFormat="1" ht="15.75" customHeight="1" thickBot="1">
      <c r="A56" s="521"/>
      <c r="B56" s="89" t="s">
        <v>1104</v>
      </c>
      <c r="C56" s="89" t="s">
        <v>1086</v>
      </c>
      <c r="D56" s="129">
        <v>43357</v>
      </c>
      <c r="E56" s="89"/>
      <c r="F56" s="89" t="s">
        <v>1087</v>
      </c>
      <c r="G56" s="524" t="s">
        <v>1088</v>
      </c>
      <c r="H56" s="823"/>
      <c r="I56" s="824"/>
      <c r="J56" s="179" t="s">
        <v>108</v>
      </c>
      <c r="K56" s="87"/>
      <c r="L56" s="87" t="s">
        <v>42</v>
      </c>
      <c r="M56" s="395">
        <v>248</v>
      </c>
    </row>
    <row r="57" spans="1:13" s="152" customFormat="1" ht="23.25" thickBot="1">
      <c r="A57" s="521"/>
      <c r="B57" s="181" t="s">
        <v>29</v>
      </c>
      <c r="C57" s="181" t="s">
        <v>30</v>
      </c>
      <c r="D57" s="181" t="s">
        <v>31</v>
      </c>
      <c r="E57" s="815" t="s">
        <v>32</v>
      </c>
      <c r="F57" s="815"/>
      <c r="G57" s="529"/>
      <c r="H57" s="530"/>
      <c r="I57" s="531"/>
      <c r="J57" s="182" t="s">
        <v>40</v>
      </c>
      <c r="K57" s="90"/>
      <c r="L57" s="90"/>
      <c r="M57" s="402"/>
    </row>
    <row r="58" spans="1:13" s="152" customFormat="1" ht="15.75" thickBot="1">
      <c r="A58" s="522"/>
      <c r="B58" s="185" t="s">
        <v>1105</v>
      </c>
      <c r="C58" s="185" t="s">
        <v>1088</v>
      </c>
      <c r="D58" s="195">
        <v>43360</v>
      </c>
      <c r="E58" s="233" t="s">
        <v>36</v>
      </c>
      <c r="F58" s="403" t="s">
        <v>1089</v>
      </c>
      <c r="G58" s="539"/>
      <c r="H58" s="540"/>
      <c r="I58" s="541"/>
      <c r="J58" s="182" t="s">
        <v>41</v>
      </c>
      <c r="K58" s="90"/>
      <c r="L58" s="90"/>
      <c r="M58" s="402"/>
    </row>
    <row r="59" spans="1:13" s="152" customFormat="1" ht="24" customHeight="1" thickTop="1" thickBot="1">
      <c r="A59" s="518">
        <f>A58+211</f>
        <v>211</v>
      </c>
      <c r="B59" s="111" t="s">
        <v>19</v>
      </c>
      <c r="C59" s="111" t="s">
        <v>20</v>
      </c>
      <c r="D59" s="111" t="s">
        <v>21</v>
      </c>
      <c r="E59" s="811" t="s">
        <v>22</v>
      </c>
      <c r="F59" s="811"/>
      <c r="G59" s="811" t="s">
        <v>12</v>
      </c>
      <c r="H59" s="602"/>
      <c r="I59" s="174"/>
      <c r="J59" s="175" t="s">
        <v>39</v>
      </c>
      <c r="K59" s="99"/>
      <c r="L59" s="99"/>
      <c r="M59" s="401"/>
    </row>
    <row r="60" spans="1:13" s="152" customFormat="1" ht="15.75" customHeight="1" thickBot="1">
      <c r="A60" s="521"/>
      <c r="B60" s="89" t="s">
        <v>1106</v>
      </c>
      <c r="C60" s="89" t="s">
        <v>1086</v>
      </c>
      <c r="D60" s="129">
        <v>43357</v>
      </c>
      <c r="E60" s="89"/>
      <c r="F60" s="89" t="s">
        <v>1087</v>
      </c>
      <c r="G60" s="524" t="s">
        <v>1088</v>
      </c>
      <c r="H60" s="823"/>
      <c r="I60" s="824"/>
      <c r="J60" s="179" t="s">
        <v>108</v>
      </c>
      <c r="K60" s="87"/>
      <c r="L60" s="87" t="s">
        <v>42</v>
      </c>
      <c r="M60" s="395">
        <v>248</v>
      </c>
    </row>
    <row r="61" spans="1:13" s="152" customFormat="1" ht="23.25" thickBot="1">
      <c r="A61" s="521"/>
      <c r="B61" s="181" t="s">
        <v>29</v>
      </c>
      <c r="C61" s="181" t="s">
        <v>30</v>
      </c>
      <c r="D61" s="181" t="s">
        <v>31</v>
      </c>
      <c r="E61" s="815" t="s">
        <v>32</v>
      </c>
      <c r="F61" s="815"/>
      <c r="G61" s="529"/>
      <c r="H61" s="530"/>
      <c r="I61" s="531"/>
      <c r="J61" s="182" t="s">
        <v>40</v>
      </c>
      <c r="K61" s="90"/>
      <c r="L61" s="90"/>
      <c r="M61" s="402"/>
    </row>
    <row r="62" spans="1:13" s="152" customFormat="1" ht="15.75" thickBot="1">
      <c r="A62" s="522"/>
      <c r="B62" s="185" t="s">
        <v>1103</v>
      </c>
      <c r="C62" s="185" t="s">
        <v>1088</v>
      </c>
      <c r="D62" s="195">
        <v>43360</v>
      </c>
      <c r="E62" s="233" t="s">
        <v>36</v>
      </c>
      <c r="F62" s="403" t="s">
        <v>1089</v>
      </c>
      <c r="G62" s="539"/>
      <c r="H62" s="540"/>
      <c r="I62" s="541"/>
      <c r="J62" s="182" t="s">
        <v>41</v>
      </c>
      <c r="K62" s="90"/>
      <c r="L62" s="90"/>
      <c r="M62" s="402"/>
    </row>
    <row r="63" spans="1:13" s="152" customFormat="1" ht="24" customHeight="1" thickTop="1" thickBot="1">
      <c r="A63" s="518">
        <f>A62+212</f>
        <v>212</v>
      </c>
      <c r="B63" s="111" t="s">
        <v>19</v>
      </c>
      <c r="C63" s="111" t="s">
        <v>20</v>
      </c>
      <c r="D63" s="111" t="s">
        <v>21</v>
      </c>
      <c r="E63" s="811" t="s">
        <v>22</v>
      </c>
      <c r="F63" s="811"/>
      <c r="G63" s="811" t="s">
        <v>12</v>
      </c>
      <c r="H63" s="602"/>
      <c r="I63" s="174"/>
      <c r="J63" s="175" t="s">
        <v>39</v>
      </c>
      <c r="K63" s="99"/>
      <c r="L63" s="99"/>
      <c r="M63" s="401"/>
    </row>
    <row r="64" spans="1:13" s="152" customFormat="1" ht="57" thickBot="1">
      <c r="A64" s="521"/>
      <c r="B64" s="89" t="s">
        <v>1107</v>
      </c>
      <c r="C64" s="89" t="s">
        <v>1108</v>
      </c>
      <c r="D64" s="129">
        <v>43265</v>
      </c>
      <c r="E64" s="89"/>
      <c r="F64" s="89" t="s">
        <v>170</v>
      </c>
      <c r="G64" s="524" t="s">
        <v>1109</v>
      </c>
      <c r="H64" s="823"/>
      <c r="I64" s="824"/>
      <c r="J64" s="179" t="s">
        <v>108</v>
      </c>
      <c r="K64" s="87"/>
      <c r="L64" s="87" t="s">
        <v>42</v>
      </c>
      <c r="M64" s="395">
        <v>300</v>
      </c>
    </row>
    <row r="65" spans="1:13" s="152" customFormat="1" ht="23.25" thickBot="1">
      <c r="A65" s="521"/>
      <c r="B65" s="181" t="s">
        <v>29</v>
      </c>
      <c r="C65" s="181" t="s">
        <v>30</v>
      </c>
      <c r="D65" s="181" t="s">
        <v>31</v>
      </c>
      <c r="E65" s="815" t="s">
        <v>32</v>
      </c>
      <c r="F65" s="815"/>
      <c r="G65" s="529"/>
      <c r="H65" s="530"/>
      <c r="I65" s="531"/>
      <c r="J65" s="182" t="s">
        <v>136</v>
      </c>
      <c r="K65" s="90"/>
      <c r="L65" s="90" t="s">
        <v>42</v>
      </c>
      <c r="M65" s="402">
        <v>80</v>
      </c>
    </row>
    <row r="66" spans="1:13" s="152" customFormat="1" ht="15.75" thickBot="1">
      <c r="A66" s="522"/>
      <c r="B66" s="185" t="s">
        <v>1098</v>
      </c>
      <c r="C66" s="185" t="s">
        <v>1109</v>
      </c>
      <c r="D66" s="195">
        <v>43266</v>
      </c>
      <c r="E66" s="233" t="s">
        <v>36</v>
      </c>
      <c r="F66" s="403" t="s">
        <v>1110</v>
      </c>
      <c r="G66" s="539"/>
      <c r="H66" s="540"/>
      <c r="I66" s="541"/>
      <c r="J66" s="182" t="s">
        <v>41</v>
      </c>
      <c r="K66" s="90"/>
      <c r="L66" s="90"/>
      <c r="M66" s="402"/>
    </row>
    <row r="67" spans="1:13" s="152" customFormat="1" ht="24" customHeight="1" thickTop="1" thickBot="1">
      <c r="A67" s="518">
        <f>A66+213</f>
        <v>213</v>
      </c>
      <c r="B67" s="111" t="s">
        <v>19</v>
      </c>
      <c r="C67" s="111" t="s">
        <v>20</v>
      </c>
      <c r="D67" s="111" t="s">
        <v>21</v>
      </c>
      <c r="E67" s="811" t="s">
        <v>22</v>
      </c>
      <c r="F67" s="811"/>
      <c r="G67" s="811" t="s">
        <v>12</v>
      </c>
      <c r="H67" s="602"/>
      <c r="I67" s="174"/>
      <c r="J67" s="175" t="s">
        <v>39</v>
      </c>
      <c r="K67" s="99"/>
      <c r="L67" s="99"/>
      <c r="M67" s="401"/>
    </row>
    <row r="68" spans="1:13" s="152" customFormat="1" ht="57" thickBot="1">
      <c r="A68" s="521"/>
      <c r="B68" s="89" t="s">
        <v>1111</v>
      </c>
      <c r="C68" s="89" t="s">
        <v>1108</v>
      </c>
      <c r="D68" s="129">
        <v>43265</v>
      </c>
      <c r="E68" s="89"/>
      <c r="F68" s="89" t="s">
        <v>170</v>
      </c>
      <c r="G68" s="524" t="s">
        <v>1109</v>
      </c>
      <c r="H68" s="823"/>
      <c r="I68" s="824"/>
      <c r="J68" s="179" t="s">
        <v>108</v>
      </c>
      <c r="K68" s="87"/>
      <c r="L68" s="87" t="s">
        <v>42</v>
      </c>
      <c r="M68" s="395">
        <v>300</v>
      </c>
    </row>
    <row r="69" spans="1:13" s="152" customFormat="1" ht="23.25" thickBot="1">
      <c r="A69" s="521"/>
      <c r="B69" s="181" t="s">
        <v>29</v>
      </c>
      <c r="C69" s="181" t="s">
        <v>30</v>
      </c>
      <c r="D69" s="181" t="s">
        <v>31</v>
      </c>
      <c r="E69" s="815" t="s">
        <v>32</v>
      </c>
      <c r="F69" s="815"/>
      <c r="G69" s="529"/>
      <c r="H69" s="530"/>
      <c r="I69" s="531"/>
      <c r="J69" s="182" t="s">
        <v>136</v>
      </c>
      <c r="K69" s="90"/>
      <c r="L69" s="90" t="s">
        <v>42</v>
      </c>
      <c r="M69" s="402">
        <v>80</v>
      </c>
    </row>
    <row r="70" spans="1:13" s="152" customFormat="1" ht="15.75" thickBot="1">
      <c r="A70" s="522"/>
      <c r="B70" s="194" t="s">
        <v>1091</v>
      </c>
      <c r="C70" s="194" t="s">
        <v>1109</v>
      </c>
      <c r="D70" s="195">
        <v>43266</v>
      </c>
      <c r="E70" s="233" t="s">
        <v>36</v>
      </c>
      <c r="F70" s="197" t="s">
        <v>1112</v>
      </c>
      <c r="G70" s="539"/>
      <c r="H70" s="540"/>
      <c r="I70" s="541"/>
      <c r="J70" s="399" t="s">
        <v>41</v>
      </c>
      <c r="K70" s="110"/>
      <c r="L70" s="110"/>
      <c r="M70" s="404"/>
    </row>
    <row r="71" spans="1:13" s="152" customFormat="1" ht="24" customHeight="1" thickTop="1" thickBot="1">
      <c r="A71" s="518">
        <f>A70+214</f>
        <v>214</v>
      </c>
      <c r="B71" s="111" t="s">
        <v>19</v>
      </c>
      <c r="C71" s="111" t="s">
        <v>20</v>
      </c>
      <c r="D71" s="111" t="s">
        <v>21</v>
      </c>
      <c r="E71" s="811" t="s">
        <v>22</v>
      </c>
      <c r="F71" s="811"/>
      <c r="G71" s="811" t="s">
        <v>12</v>
      </c>
      <c r="H71" s="602"/>
      <c r="I71" s="174"/>
      <c r="J71" s="175" t="s">
        <v>39</v>
      </c>
      <c r="K71" s="99"/>
      <c r="L71" s="99"/>
      <c r="M71" s="401"/>
    </row>
    <row r="72" spans="1:13" s="152" customFormat="1" ht="57" thickBot="1">
      <c r="A72" s="521"/>
      <c r="B72" s="89" t="s">
        <v>1113</v>
      </c>
      <c r="C72" s="89" t="s">
        <v>1108</v>
      </c>
      <c r="D72" s="129">
        <v>43265</v>
      </c>
      <c r="E72" s="89"/>
      <c r="F72" s="89" t="s">
        <v>170</v>
      </c>
      <c r="G72" s="524" t="s">
        <v>1109</v>
      </c>
      <c r="H72" s="823"/>
      <c r="I72" s="824"/>
      <c r="J72" s="179" t="s">
        <v>108</v>
      </c>
      <c r="K72" s="87"/>
      <c r="L72" s="87" t="s">
        <v>42</v>
      </c>
      <c r="M72" s="395">
        <v>1234.56</v>
      </c>
    </row>
    <row r="73" spans="1:13" s="152" customFormat="1" ht="23.25" thickBot="1">
      <c r="A73" s="521"/>
      <c r="B73" s="181" t="s">
        <v>29</v>
      </c>
      <c r="C73" s="181" t="s">
        <v>30</v>
      </c>
      <c r="D73" s="181" t="s">
        <v>31</v>
      </c>
      <c r="E73" s="815" t="s">
        <v>32</v>
      </c>
      <c r="F73" s="815"/>
      <c r="G73" s="529"/>
      <c r="H73" s="530"/>
      <c r="I73" s="531"/>
      <c r="J73" s="182" t="s">
        <v>98</v>
      </c>
      <c r="K73" s="90"/>
      <c r="L73" s="90" t="s">
        <v>42</v>
      </c>
      <c r="M73" s="402">
        <v>600</v>
      </c>
    </row>
    <row r="74" spans="1:13" s="152" customFormat="1" ht="15.75" thickBot="1">
      <c r="A74" s="522"/>
      <c r="B74" s="185" t="s">
        <v>1091</v>
      </c>
      <c r="C74" s="185" t="s">
        <v>1109</v>
      </c>
      <c r="D74" s="195">
        <v>43266</v>
      </c>
      <c r="E74" s="233" t="s">
        <v>36</v>
      </c>
      <c r="F74" s="403" t="s">
        <v>1112</v>
      </c>
      <c r="G74" s="539"/>
      <c r="H74" s="540"/>
      <c r="I74" s="541"/>
      <c r="J74" s="182" t="s">
        <v>41</v>
      </c>
      <c r="K74" s="90"/>
      <c r="L74" s="90"/>
      <c r="M74" s="402"/>
    </row>
    <row r="75" spans="1:13" s="152" customFormat="1" ht="24" customHeight="1" thickTop="1" thickBot="1">
      <c r="A75" s="518">
        <f>A74+215</f>
        <v>215</v>
      </c>
      <c r="B75" s="111" t="s">
        <v>19</v>
      </c>
      <c r="C75" s="111" t="s">
        <v>20</v>
      </c>
      <c r="D75" s="111" t="s">
        <v>21</v>
      </c>
      <c r="E75" s="811" t="s">
        <v>22</v>
      </c>
      <c r="F75" s="811"/>
      <c r="G75" s="811" t="s">
        <v>12</v>
      </c>
      <c r="H75" s="602"/>
      <c r="I75" s="174"/>
      <c r="J75" s="175" t="s">
        <v>39</v>
      </c>
      <c r="K75" s="99"/>
      <c r="L75" s="99"/>
      <c r="M75" s="401"/>
    </row>
    <row r="76" spans="1:13" s="152" customFormat="1" ht="57" thickBot="1">
      <c r="A76" s="521"/>
      <c r="B76" s="89" t="s">
        <v>1114</v>
      </c>
      <c r="C76" s="89" t="s">
        <v>1108</v>
      </c>
      <c r="D76" s="129">
        <v>43265</v>
      </c>
      <c r="E76" s="89"/>
      <c r="F76" s="89" t="s">
        <v>170</v>
      </c>
      <c r="G76" s="524" t="s">
        <v>1109</v>
      </c>
      <c r="H76" s="823"/>
      <c r="I76" s="824"/>
      <c r="J76" s="179" t="s">
        <v>108</v>
      </c>
      <c r="K76" s="87"/>
      <c r="L76" s="87" t="s">
        <v>42</v>
      </c>
      <c r="M76" s="395">
        <v>1344.32</v>
      </c>
    </row>
    <row r="77" spans="1:13" s="152" customFormat="1" ht="23.25" thickBot="1">
      <c r="A77" s="521"/>
      <c r="B77" s="181" t="s">
        <v>29</v>
      </c>
      <c r="C77" s="181" t="s">
        <v>30</v>
      </c>
      <c r="D77" s="181" t="s">
        <v>31</v>
      </c>
      <c r="E77" s="815" t="s">
        <v>32</v>
      </c>
      <c r="F77" s="815"/>
      <c r="G77" s="529"/>
      <c r="H77" s="530"/>
      <c r="I77" s="531"/>
      <c r="J77" s="182" t="s">
        <v>98</v>
      </c>
      <c r="K77" s="90"/>
      <c r="L77" s="90" t="s">
        <v>42</v>
      </c>
      <c r="M77" s="402">
        <v>419.38</v>
      </c>
    </row>
    <row r="78" spans="1:13" s="152" customFormat="1" ht="15.75" thickBot="1">
      <c r="A78" s="522"/>
      <c r="B78" s="185" t="s">
        <v>168</v>
      </c>
      <c r="C78" s="185" t="s">
        <v>1109</v>
      </c>
      <c r="D78" s="195">
        <v>43266</v>
      </c>
      <c r="E78" s="233" t="s">
        <v>36</v>
      </c>
      <c r="F78" s="403" t="s">
        <v>1112</v>
      </c>
      <c r="G78" s="539"/>
      <c r="H78" s="540"/>
      <c r="I78" s="541"/>
      <c r="J78" s="182" t="s">
        <v>41</v>
      </c>
      <c r="K78" s="90"/>
      <c r="L78" s="90"/>
      <c r="M78" s="402"/>
    </row>
    <row r="79" spans="1:13" s="152" customFormat="1" ht="24" customHeight="1" thickTop="1" thickBot="1">
      <c r="A79" s="518">
        <f>A78+216</f>
        <v>216</v>
      </c>
      <c r="B79" s="111" t="s">
        <v>19</v>
      </c>
      <c r="C79" s="111" t="s">
        <v>20</v>
      </c>
      <c r="D79" s="111" t="s">
        <v>21</v>
      </c>
      <c r="E79" s="811" t="s">
        <v>22</v>
      </c>
      <c r="F79" s="811"/>
      <c r="G79" s="811" t="s">
        <v>12</v>
      </c>
      <c r="H79" s="602"/>
      <c r="I79" s="174"/>
      <c r="J79" s="175" t="s">
        <v>39</v>
      </c>
      <c r="K79" s="99"/>
      <c r="L79" s="99"/>
      <c r="M79" s="401"/>
    </row>
    <row r="80" spans="1:13" s="152" customFormat="1" ht="68.25" customHeight="1" thickBot="1">
      <c r="A80" s="521"/>
      <c r="B80" s="89" t="s">
        <v>1115</v>
      </c>
      <c r="C80" s="89" t="s">
        <v>1116</v>
      </c>
      <c r="D80" s="129">
        <v>43324</v>
      </c>
      <c r="E80" s="89"/>
      <c r="F80" s="89" t="s">
        <v>155</v>
      </c>
      <c r="G80" s="524" t="s">
        <v>1117</v>
      </c>
      <c r="H80" s="823"/>
      <c r="I80" s="824"/>
      <c r="J80" s="179" t="s">
        <v>108</v>
      </c>
      <c r="K80" s="87"/>
      <c r="L80" s="87" t="s">
        <v>42</v>
      </c>
      <c r="M80" s="395">
        <v>160</v>
      </c>
    </row>
    <row r="81" spans="1:13" s="152" customFormat="1" ht="23.25" thickBot="1">
      <c r="A81" s="521"/>
      <c r="B81" s="181" t="s">
        <v>29</v>
      </c>
      <c r="C81" s="181" t="s">
        <v>30</v>
      </c>
      <c r="D81" s="181" t="s">
        <v>31</v>
      </c>
      <c r="E81" s="815" t="s">
        <v>32</v>
      </c>
      <c r="F81" s="815"/>
      <c r="G81" s="529"/>
      <c r="H81" s="530"/>
      <c r="I81" s="531"/>
      <c r="J81" s="182" t="s">
        <v>163</v>
      </c>
      <c r="K81" s="90"/>
      <c r="L81" s="90" t="s">
        <v>42</v>
      </c>
      <c r="M81" s="402">
        <v>700</v>
      </c>
    </row>
    <row r="82" spans="1:13" s="152" customFormat="1" ht="23.25" thickBot="1">
      <c r="A82" s="522"/>
      <c r="B82" s="185" t="s">
        <v>1118</v>
      </c>
      <c r="C82" s="185" t="s">
        <v>1119</v>
      </c>
      <c r="D82" s="195">
        <v>43326</v>
      </c>
      <c r="E82" s="233" t="s">
        <v>36</v>
      </c>
      <c r="F82" s="403" t="s">
        <v>1120</v>
      </c>
      <c r="G82" s="539"/>
      <c r="H82" s="540"/>
      <c r="I82" s="541"/>
      <c r="J82" s="182" t="s">
        <v>162</v>
      </c>
      <c r="K82" s="90"/>
      <c r="L82" s="90" t="s">
        <v>42</v>
      </c>
      <c r="M82" s="402">
        <v>140</v>
      </c>
    </row>
    <row r="83" spans="1:13" s="152" customFormat="1" ht="24" customHeight="1" thickTop="1" thickBot="1">
      <c r="A83" s="518">
        <f>A82+217</f>
        <v>217</v>
      </c>
      <c r="B83" s="111" t="s">
        <v>19</v>
      </c>
      <c r="C83" s="111" t="s">
        <v>20</v>
      </c>
      <c r="D83" s="111" t="s">
        <v>21</v>
      </c>
      <c r="E83" s="811" t="s">
        <v>22</v>
      </c>
      <c r="F83" s="811"/>
      <c r="G83" s="811" t="s">
        <v>12</v>
      </c>
      <c r="H83" s="602"/>
      <c r="I83" s="174"/>
      <c r="J83" s="175" t="s">
        <v>39</v>
      </c>
      <c r="K83" s="99"/>
      <c r="L83" s="99"/>
      <c r="M83" s="401"/>
    </row>
    <row r="84" spans="1:13" s="152" customFormat="1" ht="34.5" thickBot="1">
      <c r="A84" s="521"/>
      <c r="B84" s="89" t="s">
        <v>1113</v>
      </c>
      <c r="C84" s="89" t="s">
        <v>1121</v>
      </c>
      <c r="D84" s="129">
        <v>43337</v>
      </c>
      <c r="E84" s="89"/>
      <c r="F84" s="89" t="s">
        <v>1122</v>
      </c>
      <c r="G84" s="524" t="s">
        <v>1123</v>
      </c>
      <c r="H84" s="823"/>
      <c r="I84" s="824"/>
      <c r="J84" s="179" t="s">
        <v>108</v>
      </c>
      <c r="K84" s="87"/>
      <c r="L84" s="87" t="s">
        <v>42</v>
      </c>
      <c r="M84" s="395">
        <v>1050</v>
      </c>
    </row>
    <row r="85" spans="1:13" s="152" customFormat="1" ht="23.25" thickBot="1">
      <c r="A85" s="521"/>
      <c r="B85" s="181" t="s">
        <v>29</v>
      </c>
      <c r="C85" s="181" t="s">
        <v>30</v>
      </c>
      <c r="D85" s="181" t="s">
        <v>31</v>
      </c>
      <c r="E85" s="815" t="s">
        <v>32</v>
      </c>
      <c r="F85" s="815"/>
      <c r="G85" s="529"/>
      <c r="H85" s="530"/>
      <c r="I85" s="531"/>
      <c r="J85" s="182" t="s">
        <v>38</v>
      </c>
      <c r="K85" s="90"/>
      <c r="L85" s="90" t="s">
        <v>42</v>
      </c>
      <c r="M85" s="402">
        <v>150</v>
      </c>
    </row>
    <row r="86" spans="1:13" s="152" customFormat="1" ht="15.75" thickBot="1">
      <c r="A86" s="521"/>
      <c r="B86" s="181"/>
      <c r="C86" s="181"/>
      <c r="D86" s="181"/>
      <c r="E86" s="181"/>
      <c r="F86" s="181"/>
      <c r="G86" s="154"/>
      <c r="H86" s="155"/>
      <c r="I86" s="156"/>
      <c r="J86" s="182" t="s">
        <v>136</v>
      </c>
      <c r="K86" s="90"/>
      <c r="L86" s="90" t="s">
        <v>42</v>
      </c>
      <c r="M86" s="402">
        <v>250</v>
      </c>
    </row>
    <row r="87" spans="1:13" s="152" customFormat="1" ht="23.25" thickBot="1">
      <c r="A87" s="522"/>
      <c r="B87" s="185" t="s">
        <v>1091</v>
      </c>
      <c r="C87" s="185" t="s">
        <v>1123</v>
      </c>
      <c r="D87" s="195">
        <v>43339</v>
      </c>
      <c r="E87" s="233" t="s">
        <v>36</v>
      </c>
      <c r="F87" s="403" t="s">
        <v>1124</v>
      </c>
      <c r="G87" s="539"/>
      <c r="H87" s="540"/>
      <c r="I87" s="541"/>
      <c r="J87" s="182" t="s">
        <v>1125</v>
      </c>
      <c r="K87" s="90"/>
      <c r="L87" s="90" t="s">
        <v>42</v>
      </c>
      <c r="M87" s="402">
        <v>999</v>
      </c>
    </row>
    <row r="88" spans="1:13" s="152" customFormat="1" ht="24" customHeight="1" thickTop="1" thickBot="1">
      <c r="A88" s="518">
        <f>A87+218</f>
        <v>218</v>
      </c>
      <c r="B88" s="111" t="s">
        <v>19</v>
      </c>
      <c r="C88" s="111" t="s">
        <v>20</v>
      </c>
      <c r="D88" s="111" t="s">
        <v>21</v>
      </c>
      <c r="E88" s="811" t="s">
        <v>22</v>
      </c>
      <c r="F88" s="811"/>
      <c r="G88" s="811" t="s">
        <v>12</v>
      </c>
      <c r="H88" s="602"/>
      <c r="I88" s="174"/>
      <c r="J88" s="175" t="s">
        <v>39</v>
      </c>
      <c r="K88" s="99"/>
      <c r="L88" s="99"/>
      <c r="M88" s="401"/>
    </row>
    <row r="89" spans="1:13" s="152" customFormat="1" ht="24" customHeight="1" thickBot="1">
      <c r="A89" s="521"/>
      <c r="B89" s="89" t="s">
        <v>169</v>
      </c>
      <c r="C89" s="89" t="s">
        <v>1126</v>
      </c>
      <c r="D89" s="129">
        <v>43348</v>
      </c>
      <c r="E89" s="89"/>
      <c r="F89" s="89" t="s">
        <v>1127</v>
      </c>
      <c r="G89" s="524" t="s">
        <v>1128</v>
      </c>
      <c r="H89" s="823"/>
      <c r="I89" s="824"/>
      <c r="J89" s="179" t="s">
        <v>108</v>
      </c>
      <c r="K89" s="87"/>
      <c r="L89" s="87" t="s">
        <v>42</v>
      </c>
      <c r="M89" s="395">
        <v>684</v>
      </c>
    </row>
    <row r="90" spans="1:13" s="152" customFormat="1" ht="45.75" customHeight="1" thickBot="1">
      <c r="A90" s="521"/>
      <c r="B90" s="181" t="s">
        <v>29</v>
      </c>
      <c r="C90" s="181" t="s">
        <v>30</v>
      </c>
      <c r="D90" s="181" t="s">
        <v>31</v>
      </c>
      <c r="E90" s="815" t="s">
        <v>32</v>
      </c>
      <c r="F90" s="815"/>
      <c r="G90" s="529"/>
      <c r="H90" s="530"/>
      <c r="I90" s="531"/>
      <c r="J90" s="182" t="s">
        <v>163</v>
      </c>
      <c r="K90" s="90"/>
      <c r="L90" s="90" t="s">
        <v>42</v>
      </c>
      <c r="M90" s="402">
        <v>650</v>
      </c>
    </row>
    <row r="91" spans="1:13" s="152" customFormat="1" ht="15.75" thickBot="1">
      <c r="A91" s="522"/>
      <c r="B91" s="185" t="s">
        <v>168</v>
      </c>
      <c r="C91" s="185" t="s">
        <v>1129</v>
      </c>
      <c r="D91" s="195">
        <v>43354</v>
      </c>
      <c r="E91" s="233" t="s">
        <v>36</v>
      </c>
      <c r="F91" s="403" t="s">
        <v>1130</v>
      </c>
      <c r="G91" s="539"/>
      <c r="H91" s="540"/>
      <c r="I91" s="541"/>
      <c r="J91" s="182" t="s">
        <v>38</v>
      </c>
      <c r="K91" s="90"/>
      <c r="L91" s="90" t="s">
        <v>42</v>
      </c>
      <c r="M91" s="402">
        <v>251</v>
      </c>
    </row>
    <row r="92" spans="1:13" s="152" customFormat="1" ht="24" customHeight="1" thickTop="1" thickBot="1">
      <c r="A92" s="518">
        <f>A91+219</f>
        <v>219</v>
      </c>
      <c r="B92" s="111" t="s">
        <v>19</v>
      </c>
      <c r="C92" s="111" t="s">
        <v>20</v>
      </c>
      <c r="D92" s="111" t="s">
        <v>21</v>
      </c>
      <c r="E92" s="811" t="s">
        <v>22</v>
      </c>
      <c r="F92" s="811"/>
      <c r="G92" s="811" t="s">
        <v>12</v>
      </c>
      <c r="H92" s="602"/>
      <c r="I92" s="174"/>
      <c r="J92" s="175" t="s">
        <v>39</v>
      </c>
      <c r="K92" s="99"/>
      <c r="L92" s="99"/>
      <c r="M92" s="401"/>
    </row>
    <row r="93" spans="1:13" s="152" customFormat="1" ht="24" customHeight="1" thickBot="1">
      <c r="A93" s="521"/>
      <c r="B93" s="89" t="s">
        <v>1131</v>
      </c>
      <c r="C93" s="89" t="s">
        <v>1132</v>
      </c>
      <c r="D93" s="129">
        <v>43349</v>
      </c>
      <c r="E93" s="89"/>
      <c r="F93" s="89" t="s">
        <v>731</v>
      </c>
      <c r="G93" s="524" t="s">
        <v>1133</v>
      </c>
      <c r="H93" s="823"/>
      <c r="I93" s="824"/>
      <c r="J93" s="179" t="s">
        <v>163</v>
      </c>
      <c r="K93" s="87"/>
      <c r="L93" s="87" t="s">
        <v>42</v>
      </c>
      <c r="M93" s="395">
        <v>500</v>
      </c>
    </row>
    <row r="94" spans="1:13" s="152" customFormat="1" ht="23.25" thickBot="1">
      <c r="A94" s="521"/>
      <c r="B94" s="181" t="s">
        <v>29</v>
      </c>
      <c r="C94" s="181" t="s">
        <v>30</v>
      </c>
      <c r="D94" s="181" t="s">
        <v>31</v>
      </c>
      <c r="E94" s="815" t="s">
        <v>32</v>
      </c>
      <c r="F94" s="815"/>
      <c r="G94" s="529"/>
      <c r="H94" s="530"/>
      <c r="I94" s="531"/>
      <c r="J94" s="182" t="s">
        <v>108</v>
      </c>
      <c r="K94" s="90"/>
      <c r="L94" s="90" t="s">
        <v>42</v>
      </c>
      <c r="M94" s="402">
        <v>380</v>
      </c>
    </row>
    <row r="95" spans="1:13" s="152" customFormat="1" ht="23.25" thickBot="1">
      <c r="A95" s="522"/>
      <c r="B95" s="185" t="s">
        <v>1098</v>
      </c>
      <c r="C95" s="185" t="s">
        <v>220</v>
      </c>
      <c r="D95" s="195">
        <v>43352</v>
      </c>
      <c r="E95" s="233" t="s">
        <v>36</v>
      </c>
      <c r="F95" s="403" t="s">
        <v>1134</v>
      </c>
      <c r="G95" s="539"/>
      <c r="H95" s="540"/>
      <c r="I95" s="541"/>
      <c r="J95" s="182" t="s">
        <v>136</v>
      </c>
      <c r="K95" s="90"/>
      <c r="L95" s="90" t="s">
        <v>42</v>
      </c>
      <c r="M95" s="402">
        <v>195</v>
      </c>
    </row>
    <row r="96" spans="1:13" s="152" customFormat="1" ht="24" customHeight="1" thickTop="1" thickBot="1">
      <c r="A96" s="518">
        <f>A95+220</f>
        <v>220</v>
      </c>
      <c r="B96" s="111" t="s">
        <v>19</v>
      </c>
      <c r="C96" s="111" t="s">
        <v>20</v>
      </c>
      <c r="D96" s="111" t="s">
        <v>21</v>
      </c>
      <c r="E96" s="811" t="s">
        <v>22</v>
      </c>
      <c r="F96" s="811"/>
      <c r="G96" s="811" t="s">
        <v>12</v>
      </c>
      <c r="H96" s="602"/>
      <c r="I96" s="174"/>
      <c r="J96" s="175" t="s">
        <v>39</v>
      </c>
      <c r="K96" s="99"/>
      <c r="L96" s="99"/>
      <c r="M96" s="401"/>
    </row>
    <row r="97" spans="1:13" s="152" customFormat="1" ht="24" customHeight="1" thickBot="1">
      <c r="A97" s="521"/>
      <c r="B97" s="89" t="s">
        <v>1135</v>
      </c>
      <c r="C97" s="89" t="s">
        <v>1136</v>
      </c>
      <c r="D97" s="129">
        <v>43360</v>
      </c>
      <c r="E97" s="89"/>
      <c r="F97" s="89" t="s">
        <v>950</v>
      </c>
      <c r="G97" s="524" t="s">
        <v>1012</v>
      </c>
      <c r="H97" s="823"/>
      <c r="I97" s="824"/>
      <c r="J97" s="179" t="s">
        <v>38</v>
      </c>
      <c r="K97" s="87"/>
      <c r="L97" s="87" t="s">
        <v>42</v>
      </c>
      <c r="M97" s="395">
        <v>660</v>
      </c>
    </row>
    <row r="98" spans="1:13" s="152" customFormat="1" ht="34.5" customHeight="1" thickBot="1">
      <c r="A98" s="521"/>
      <c r="B98" s="181" t="s">
        <v>29</v>
      </c>
      <c r="C98" s="181" t="s">
        <v>30</v>
      </c>
      <c r="D98" s="181" t="s">
        <v>31</v>
      </c>
      <c r="E98" s="815" t="s">
        <v>32</v>
      </c>
      <c r="F98" s="815"/>
      <c r="G98" s="529"/>
      <c r="H98" s="530"/>
      <c r="I98" s="531"/>
      <c r="J98" s="182" t="s">
        <v>40</v>
      </c>
      <c r="K98" s="90"/>
      <c r="L98" s="90"/>
      <c r="M98" s="402"/>
    </row>
    <row r="99" spans="1:13" s="152" customFormat="1" ht="23.25" thickBot="1">
      <c r="A99" s="522"/>
      <c r="B99" s="185" t="s">
        <v>1137</v>
      </c>
      <c r="C99" s="185" t="s">
        <v>1012</v>
      </c>
      <c r="D99" s="195">
        <v>43362</v>
      </c>
      <c r="E99" s="233" t="s">
        <v>36</v>
      </c>
      <c r="F99" s="403" t="s">
        <v>1138</v>
      </c>
      <c r="G99" s="539"/>
      <c r="H99" s="540"/>
      <c r="I99" s="541"/>
      <c r="J99" s="182" t="s">
        <v>41</v>
      </c>
      <c r="K99" s="90"/>
      <c r="L99" s="90"/>
      <c r="M99" s="402"/>
    </row>
    <row r="100" spans="1:13" s="152" customFormat="1" ht="24" customHeight="1" thickTop="1" thickBot="1">
      <c r="A100" s="518">
        <f>A99+221</f>
        <v>221</v>
      </c>
      <c r="B100" s="487" t="s">
        <v>19</v>
      </c>
      <c r="C100" s="487" t="s">
        <v>20</v>
      </c>
      <c r="D100" s="487" t="s">
        <v>21</v>
      </c>
      <c r="E100" s="825" t="s">
        <v>22</v>
      </c>
      <c r="F100" s="825"/>
      <c r="G100" s="825" t="s">
        <v>12</v>
      </c>
      <c r="H100" s="829"/>
      <c r="I100" s="488"/>
      <c r="J100" s="489" t="s">
        <v>39</v>
      </c>
      <c r="K100" s="490"/>
      <c r="L100" s="490"/>
      <c r="M100" s="491"/>
    </row>
    <row r="101" spans="1:13" s="152" customFormat="1" ht="24" customHeight="1" thickBot="1">
      <c r="A101" s="521"/>
      <c r="B101" s="475" t="s">
        <v>1139</v>
      </c>
      <c r="C101" s="475" t="s">
        <v>1140</v>
      </c>
      <c r="D101" s="476">
        <v>43352</v>
      </c>
      <c r="E101" s="475"/>
      <c r="F101" s="475" t="s">
        <v>1141</v>
      </c>
      <c r="G101" s="826" t="s">
        <v>1142</v>
      </c>
      <c r="H101" s="827"/>
      <c r="I101" s="828"/>
      <c r="J101" s="477" t="s">
        <v>108</v>
      </c>
      <c r="K101" s="478"/>
      <c r="L101" s="478" t="s">
        <v>42</v>
      </c>
      <c r="M101" s="479">
        <v>300</v>
      </c>
    </row>
    <row r="102" spans="1:13" s="152" customFormat="1" ht="23.25" customHeight="1" thickBot="1">
      <c r="A102" s="521"/>
      <c r="B102" s="492" t="s">
        <v>29</v>
      </c>
      <c r="C102" s="492" t="s">
        <v>30</v>
      </c>
      <c r="D102" s="492" t="s">
        <v>31</v>
      </c>
      <c r="E102" s="819" t="s">
        <v>32</v>
      </c>
      <c r="F102" s="819"/>
      <c r="G102" s="697"/>
      <c r="H102" s="830"/>
      <c r="I102" s="831"/>
      <c r="J102" s="480" t="s">
        <v>163</v>
      </c>
      <c r="K102" s="481"/>
      <c r="L102" s="481" t="s">
        <v>42</v>
      </c>
      <c r="M102" s="482">
        <v>289.95999999999998</v>
      </c>
    </row>
    <row r="103" spans="1:13" s="152" customFormat="1" ht="23.25" thickBot="1">
      <c r="A103" s="522"/>
      <c r="B103" s="483" t="s">
        <v>1143</v>
      </c>
      <c r="C103" s="483" t="s">
        <v>1144</v>
      </c>
      <c r="D103" s="484">
        <v>43355</v>
      </c>
      <c r="E103" s="485" t="s">
        <v>36</v>
      </c>
      <c r="F103" s="486" t="s">
        <v>1145</v>
      </c>
      <c r="G103" s="820"/>
      <c r="H103" s="821"/>
      <c r="I103" s="822"/>
      <c r="J103" s="480"/>
      <c r="K103" s="481"/>
      <c r="L103" s="481"/>
      <c r="M103" s="482"/>
    </row>
    <row r="104" spans="1:13" s="152" customFormat="1" ht="24" customHeight="1" thickTop="1" thickBot="1">
      <c r="A104" s="518">
        <f>A103+222</f>
        <v>222</v>
      </c>
      <c r="B104" s="111" t="s">
        <v>19</v>
      </c>
      <c r="C104" s="111" t="s">
        <v>20</v>
      </c>
      <c r="D104" s="111" t="s">
        <v>21</v>
      </c>
      <c r="E104" s="811" t="s">
        <v>22</v>
      </c>
      <c r="F104" s="811"/>
      <c r="G104" s="811" t="s">
        <v>12</v>
      </c>
      <c r="H104" s="602"/>
      <c r="I104" s="174"/>
      <c r="J104" s="175" t="s">
        <v>39</v>
      </c>
      <c r="K104" s="99"/>
      <c r="L104" s="99"/>
      <c r="M104" s="401"/>
    </row>
    <row r="105" spans="1:13" s="152" customFormat="1" ht="24" customHeight="1" thickBot="1">
      <c r="A105" s="521"/>
      <c r="B105" s="89" t="s">
        <v>1146</v>
      </c>
      <c r="C105" s="89" t="s">
        <v>1147</v>
      </c>
      <c r="D105" s="129">
        <v>43356</v>
      </c>
      <c r="E105" s="89"/>
      <c r="F105" s="89" t="s">
        <v>1148</v>
      </c>
      <c r="G105" s="524" t="s">
        <v>1149</v>
      </c>
      <c r="H105" s="823"/>
      <c r="I105" s="824"/>
      <c r="J105" s="179" t="s">
        <v>1150</v>
      </c>
      <c r="K105" s="87"/>
      <c r="L105" s="87" t="s">
        <v>42</v>
      </c>
      <c r="M105" s="395">
        <v>2000</v>
      </c>
    </row>
    <row r="106" spans="1:13" s="152" customFormat="1" ht="23.25" customHeight="1" thickBot="1">
      <c r="A106" s="521"/>
      <c r="B106" s="181" t="s">
        <v>29</v>
      </c>
      <c r="C106" s="181" t="s">
        <v>30</v>
      </c>
      <c r="D106" s="181" t="s">
        <v>31</v>
      </c>
      <c r="E106" s="815" t="s">
        <v>32</v>
      </c>
      <c r="F106" s="815"/>
      <c r="G106" s="529"/>
      <c r="H106" s="530"/>
      <c r="I106" s="531"/>
      <c r="J106" s="182" t="s">
        <v>40</v>
      </c>
      <c r="K106" s="90"/>
      <c r="L106" s="90"/>
      <c r="M106" s="402"/>
    </row>
    <row r="107" spans="1:13" s="152" customFormat="1" ht="23.25" thickBot="1">
      <c r="A107" s="522"/>
      <c r="B107" s="462" t="s">
        <v>1118</v>
      </c>
      <c r="C107" s="462" t="s">
        <v>1149</v>
      </c>
      <c r="D107" s="195">
        <v>43357</v>
      </c>
      <c r="E107" s="233" t="s">
        <v>36</v>
      </c>
      <c r="F107" s="463" t="s">
        <v>1151</v>
      </c>
      <c r="G107" s="539"/>
      <c r="H107" s="540"/>
      <c r="I107" s="541"/>
      <c r="J107" s="399" t="s">
        <v>41</v>
      </c>
      <c r="K107" s="110"/>
      <c r="L107" s="110"/>
      <c r="M107" s="402"/>
    </row>
    <row r="108" spans="1:13" s="152" customFormat="1" ht="24" customHeight="1" thickTop="1" thickBot="1">
      <c r="A108" s="518">
        <f>A107+223</f>
        <v>223</v>
      </c>
      <c r="B108" s="161" t="s">
        <v>19</v>
      </c>
      <c r="C108" s="161" t="s">
        <v>20</v>
      </c>
      <c r="D108" s="161" t="s">
        <v>21</v>
      </c>
      <c r="E108" s="542" t="s">
        <v>22</v>
      </c>
      <c r="F108" s="542"/>
      <c r="G108" s="523" t="s">
        <v>12</v>
      </c>
      <c r="H108" s="528"/>
      <c r="I108" s="164"/>
      <c r="J108" s="29"/>
      <c r="K108" s="29"/>
      <c r="L108" s="29"/>
      <c r="M108" s="28"/>
    </row>
    <row r="109" spans="1:13" s="152" customFormat="1" ht="23.25" thickBot="1">
      <c r="A109" s="521"/>
      <c r="B109" s="9" t="s">
        <v>1152</v>
      </c>
      <c r="C109" s="9" t="s">
        <v>1153</v>
      </c>
      <c r="D109" s="10">
        <v>43369</v>
      </c>
      <c r="E109" s="11"/>
      <c r="F109" s="12" t="s">
        <v>180</v>
      </c>
      <c r="G109" s="607" t="s">
        <v>1154</v>
      </c>
      <c r="H109" s="608"/>
      <c r="I109" s="609"/>
      <c r="J109" s="13" t="s">
        <v>136</v>
      </c>
      <c r="K109" s="14"/>
      <c r="L109" s="15" t="s">
        <v>28</v>
      </c>
      <c r="M109" s="31">
        <v>799</v>
      </c>
    </row>
    <row r="110" spans="1:13" s="152" customFormat="1" ht="23.25" thickBot="1">
      <c r="A110" s="521"/>
      <c r="B110" s="162" t="s">
        <v>29</v>
      </c>
      <c r="C110" s="162" t="s">
        <v>30</v>
      </c>
      <c r="D110" s="162" t="s">
        <v>31</v>
      </c>
      <c r="E110" s="616" t="s">
        <v>32</v>
      </c>
      <c r="F110" s="616"/>
      <c r="G110" s="610"/>
      <c r="H110" s="611"/>
      <c r="I110" s="612"/>
      <c r="J110" s="16"/>
      <c r="K110" s="15"/>
      <c r="L110" s="17"/>
      <c r="M110" s="32"/>
    </row>
    <row r="111" spans="1:13" s="152" customFormat="1" ht="23.25" thickBot="1">
      <c r="A111" s="522"/>
      <c r="B111" s="18" t="s">
        <v>1155</v>
      </c>
      <c r="C111" s="18" t="s">
        <v>1156</v>
      </c>
      <c r="D111" s="10">
        <v>43370</v>
      </c>
      <c r="E111" s="19" t="s">
        <v>36</v>
      </c>
      <c r="F111" s="12" t="s">
        <v>1157</v>
      </c>
      <c r="G111" s="539"/>
      <c r="H111" s="540"/>
      <c r="I111" s="541"/>
      <c r="J111" s="20" t="s">
        <v>38</v>
      </c>
      <c r="K111" s="21"/>
      <c r="L111" s="21" t="s">
        <v>28</v>
      </c>
      <c r="M111" s="27">
        <v>150</v>
      </c>
    </row>
    <row r="112" spans="1:13" s="152" customFormat="1" ht="24" customHeight="1" thickTop="1" thickBot="1">
      <c r="A112" s="518">
        <f>A111+224</f>
        <v>224</v>
      </c>
      <c r="B112" s="150" t="s">
        <v>19</v>
      </c>
      <c r="C112" s="150" t="s">
        <v>20</v>
      </c>
      <c r="D112" s="150" t="s">
        <v>21</v>
      </c>
      <c r="E112" s="523" t="s">
        <v>22</v>
      </c>
      <c r="F112" s="523"/>
      <c r="G112" s="565" t="s">
        <v>12</v>
      </c>
      <c r="H112" s="566"/>
      <c r="I112" s="567"/>
      <c r="J112" s="126" t="s">
        <v>39</v>
      </c>
      <c r="K112" s="127"/>
      <c r="L112" s="127"/>
      <c r="M112" s="137"/>
    </row>
    <row r="113" spans="1:13" s="152" customFormat="1" ht="15.75" thickBot="1">
      <c r="A113" s="521"/>
      <c r="B113" s="128" t="s">
        <v>1158</v>
      </c>
      <c r="C113" s="128" t="s">
        <v>1159</v>
      </c>
      <c r="D113" s="129">
        <v>43293</v>
      </c>
      <c r="E113" s="128"/>
      <c r="F113" s="128" t="s">
        <v>1160</v>
      </c>
      <c r="G113" s="524" t="s">
        <v>1161</v>
      </c>
      <c r="H113" s="585"/>
      <c r="I113" s="586"/>
      <c r="J113" s="130"/>
      <c r="K113" s="130"/>
      <c r="L113" s="130"/>
      <c r="M113" s="23"/>
    </row>
    <row r="114" spans="1:13" s="152" customFormat="1" ht="23.25" thickBot="1">
      <c r="A114" s="521"/>
      <c r="B114" s="153" t="s">
        <v>29</v>
      </c>
      <c r="C114" s="153" t="s">
        <v>30</v>
      </c>
      <c r="D114" s="153" t="s">
        <v>31</v>
      </c>
      <c r="E114" s="580" t="s">
        <v>32</v>
      </c>
      <c r="F114" s="581"/>
      <c r="G114" s="524"/>
      <c r="H114" s="585"/>
      <c r="I114" s="586"/>
      <c r="J114" s="131" t="s">
        <v>1162</v>
      </c>
      <c r="K114" s="132"/>
      <c r="L114" s="132"/>
      <c r="M114" s="80">
        <v>100</v>
      </c>
    </row>
    <row r="115" spans="1:13" s="152" customFormat="1" ht="15.75" thickBot="1">
      <c r="A115" s="522"/>
      <c r="B115" s="133" t="s">
        <v>1163</v>
      </c>
      <c r="C115" s="133" t="s">
        <v>1164</v>
      </c>
      <c r="D115" s="144">
        <v>43296</v>
      </c>
      <c r="E115" s="135" t="s">
        <v>36</v>
      </c>
      <c r="F115" s="136" t="s">
        <v>1165</v>
      </c>
      <c r="G115" s="816"/>
      <c r="H115" s="817"/>
      <c r="I115" s="818"/>
      <c r="J115" s="131" t="s">
        <v>38</v>
      </c>
      <c r="K115" s="132"/>
      <c r="L115" s="132"/>
      <c r="M115" s="115">
        <v>463.29</v>
      </c>
    </row>
    <row r="116" spans="1:13" s="152" customFormat="1" ht="24" customHeight="1" thickTop="1" thickBot="1">
      <c r="A116" s="518">
        <f>A115+225</f>
        <v>225</v>
      </c>
      <c r="B116" s="150" t="s">
        <v>19</v>
      </c>
      <c r="C116" s="150" t="s">
        <v>20</v>
      </c>
      <c r="D116" s="150" t="s">
        <v>21</v>
      </c>
      <c r="E116" s="528" t="s">
        <v>22</v>
      </c>
      <c r="F116" s="579"/>
      <c r="G116" s="528" t="s">
        <v>12</v>
      </c>
      <c r="H116" s="593"/>
      <c r="I116" s="164"/>
      <c r="J116" s="126" t="s">
        <v>39</v>
      </c>
      <c r="K116" s="127"/>
      <c r="L116" s="127"/>
      <c r="M116" s="137"/>
    </row>
    <row r="117" spans="1:13" s="152" customFormat="1" ht="15.75" thickBot="1">
      <c r="A117" s="521"/>
      <c r="B117" s="128" t="s">
        <v>1158</v>
      </c>
      <c r="C117" s="128" t="s">
        <v>1166</v>
      </c>
      <c r="D117" s="129">
        <v>43295</v>
      </c>
      <c r="E117" s="128"/>
      <c r="F117" s="128" t="s">
        <v>1167</v>
      </c>
      <c r="G117" s="524" t="s">
        <v>1168</v>
      </c>
      <c r="H117" s="585"/>
      <c r="I117" s="586"/>
      <c r="J117" s="130" t="s">
        <v>39</v>
      </c>
      <c r="K117" s="130"/>
      <c r="L117" s="130"/>
      <c r="M117" s="30"/>
    </row>
    <row r="118" spans="1:13" s="152" customFormat="1" ht="23.25" thickBot="1">
      <c r="A118" s="521"/>
      <c r="B118" s="153" t="s">
        <v>29</v>
      </c>
      <c r="C118" s="153" t="s">
        <v>30</v>
      </c>
      <c r="D118" s="153" t="s">
        <v>31</v>
      </c>
      <c r="E118" s="580" t="s">
        <v>32</v>
      </c>
      <c r="F118" s="581"/>
      <c r="G118" s="529"/>
      <c r="H118" s="530"/>
      <c r="I118" s="531"/>
      <c r="J118" s="131" t="s">
        <v>1169</v>
      </c>
      <c r="K118" s="132"/>
      <c r="L118" s="405" t="s">
        <v>42</v>
      </c>
      <c r="M118" s="125">
        <v>100</v>
      </c>
    </row>
    <row r="119" spans="1:13" s="152" customFormat="1" ht="15.75" thickBot="1">
      <c r="A119" s="522"/>
      <c r="B119" s="133" t="s">
        <v>1163</v>
      </c>
      <c r="C119" s="134" t="s">
        <v>1170</v>
      </c>
      <c r="D119" s="144">
        <v>43295</v>
      </c>
      <c r="E119" s="135" t="s">
        <v>36</v>
      </c>
      <c r="F119" s="140" t="s">
        <v>987</v>
      </c>
      <c r="G119" s="539"/>
      <c r="H119" s="540"/>
      <c r="I119" s="541"/>
      <c r="J119" s="141" t="s">
        <v>38</v>
      </c>
      <c r="K119" s="142"/>
      <c r="L119" s="406" t="s">
        <v>42</v>
      </c>
      <c r="M119" s="147">
        <v>50</v>
      </c>
    </row>
    <row r="120" spans="1:13" s="152" customFormat="1" ht="24" customHeight="1" thickTop="1" thickBot="1">
      <c r="A120" s="518">
        <f>A119+226</f>
        <v>226</v>
      </c>
      <c r="B120" s="150" t="s">
        <v>19</v>
      </c>
      <c r="C120" s="150" t="s">
        <v>20</v>
      </c>
      <c r="D120" s="150" t="s">
        <v>21</v>
      </c>
      <c r="E120" s="523" t="s">
        <v>22</v>
      </c>
      <c r="F120" s="523"/>
      <c r="G120" s="523" t="s">
        <v>12</v>
      </c>
      <c r="H120" s="528"/>
      <c r="I120" s="164"/>
      <c r="J120" s="126" t="s">
        <v>39</v>
      </c>
      <c r="K120" s="127"/>
      <c r="L120" s="127"/>
      <c r="M120" s="22"/>
    </row>
    <row r="121" spans="1:13" s="152" customFormat="1" ht="23.25" thickBot="1">
      <c r="A121" s="521"/>
      <c r="B121" s="128" t="s">
        <v>1158</v>
      </c>
      <c r="C121" s="128" t="s">
        <v>1171</v>
      </c>
      <c r="D121" s="129">
        <v>43382</v>
      </c>
      <c r="E121" s="128"/>
      <c r="F121" s="128" t="s">
        <v>146</v>
      </c>
      <c r="G121" s="524" t="s">
        <v>1172</v>
      </c>
      <c r="H121" s="525"/>
      <c r="I121" s="526"/>
      <c r="J121" s="130" t="s">
        <v>39</v>
      </c>
      <c r="K121" s="130"/>
      <c r="L121" s="130"/>
      <c r="M121" s="23"/>
    </row>
    <row r="122" spans="1:13" s="152" customFormat="1" ht="23.25" thickBot="1">
      <c r="A122" s="521"/>
      <c r="B122" s="153" t="s">
        <v>29</v>
      </c>
      <c r="C122" s="153" t="s">
        <v>30</v>
      </c>
      <c r="D122" s="153" t="s">
        <v>31</v>
      </c>
      <c r="E122" s="527" t="s">
        <v>32</v>
      </c>
      <c r="F122" s="527"/>
      <c r="G122" s="529"/>
      <c r="H122" s="530"/>
      <c r="I122" s="531"/>
      <c r="J122" s="131" t="s">
        <v>1173</v>
      </c>
      <c r="K122" s="132"/>
      <c r="L122" s="405" t="s">
        <v>42</v>
      </c>
      <c r="M122" s="68">
        <v>667</v>
      </c>
    </row>
    <row r="123" spans="1:13" s="152" customFormat="1" ht="15.75" thickBot="1">
      <c r="A123" s="522"/>
      <c r="B123" s="133" t="s">
        <v>1163</v>
      </c>
      <c r="C123" s="133" t="s">
        <v>1174</v>
      </c>
      <c r="D123" s="144">
        <v>43385</v>
      </c>
      <c r="E123" s="135" t="s">
        <v>36</v>
      </c>
      <c r="F123" s="25" t="s">
        <v>1175</v>
      </c>
      <c r="G123" s="539"/>
      <c r="H123" s="540"/>
      <c r="I123" s="541"/>
      <c r="J123" s="141" t="s">
        <v>38</v>
      </c>
      <c r="K123" s="132"/>
      <c r="L123" s="405" t="s">
        <v>42</v>
      </c>
      <c r="M123" s="68">
        <v>40</v>
      </c>
    </row>
    <row r="124" spans="1:13" s="152" customFormat="1" ht="24" customHeight="1" thickTop="1" thickBot="1">
      <c r="A124" s="518">
        <f>A9120+227</f>
        <v>227</v>
      </c>
      <c r="B124" s="150" t="s">
        <v>19</v>
      </c>
      <c r="C124" s="150" t="s">
        <v>20</v>
      </c>
      <c r="D124" s="150" t="s">
        <v>21</v>
      </c>
      <c r="E124" s="523" t="s">
        <v>22</v>
      </c>
      <c r="F124" s="523"/>
      <c r="G124" s="523" t="s">
        <v>12</v>
      </c>
      <c r="H124" s="528"/>
      <c r="I124" s="164"/>
      <c r="J124" s="126" t="s">
        <v>39</v>
      </c>
      <c r="K124" s="127"/>
      <c r="L124" s="127"/>
      <c r="M124" s="22"/>
    </row>
    <row r="125" spans="1:13" s="152" customFormat="1" ht="15.75" thickBot="1">
      <c r="A125" s="521"/>
      <c r="B125" s="128" t="s">
        <v>1158</v>
      </c>
      <c r="C125" s="128" t="s">
        <v>1176</v>
      </c>
      <c r="D125" s="129">
        <v>43397</v>
      </c>
      <c r="E125" s="128"/>
      <c r="F125" s="128" t="s">
        <v>1177</v>
      </c>
      <c r="G125" s="524" t="s">
        <v>1178</v>
      </c>
      <c r="H125" s="585"/>
      <c r="I125" s="586"/>
      <c r="J125" s="130" t="s">
        <v>39</v>
      </c>
      <c r="K125" s="130"/>
      <c r="L125" s="130"/>
      <c r="M125" s="23"/>
    </row>
    <row r="126" spans="1:13" s="152" customFormat="1" ht="23.25" thickBot="1">
      <c r="A126" s="521"/>
      <c r="B126" s="153" t="s">
        <v>29</v>
      </c>
      <c r="C126" s="153" t="s">
        <v>30</v>
      </c>
      <c r="D126" s="153" t="s">
        <v>31</v>
      </c>
      <c r="E126" s="527" t="s">
        <v>32</v>
      </c>
      <c r="F126" s="527"/>
      <c r="G126" s="524"/>
      <c r="H126" s="585"/>
      <c r="I126" s="586"/>
      <c r="J126" s="131" t="s">
        <v>38</v>
      </c>
      <c r="K126" s="132"/>
      <c r="L126" s="405" t="s">
        <v>42</v>
      </c>
      <c r="M126" s="68">
        <v>40</v>
      </c>
    </row>
    <row r="127" spans="1:13" s="152" customFormat="1" ht="15.75" thickBot="1">
      <c r="A127" s="522"/>
      <c r="B127" s="133" t="s">
        <v>1163</v>
      </c>
      <c r="C127" s="133" t="s">
        <v>1178</v>
      </c>
      <c r="D127" s="144">
        <v>43398</v>
      </c>
      <c r="E127" s="135" t="s">
        <v>36</v>
      </c>
      <c r="F127" s="25" t="s">
        <v>987</v>
      </c>
      <c r="G127" s="539"/>
      <c r="H127" s="540"/>
      <c r="I127" s="541"/>
      <c r="J127" s="131" t="s">
        <v>1179</v>
      </c>
      <c r="K127" s="132"/>
      <c r="L127" s="405" t="s">
        <v>42</v>
      </c>
      <c r="M127" s="68">
        <v>15</v>
      </c>
    </row>
    <row r="128" spans="1:13" s="152" customFormat="1" ht="24" customHeight="1" thickTop="1" thickBot="1">
      <c r="A128" s="518">
        <f>A127+228</f>
        <v>228</v>
      </c>
      <c r="B128" s="150" t="s">
        <v>19</v>
      </c>
      <c r="C128" s="150" t="s">
        <v>20</v>
      </c>
      <c r="D128" s="150" t="s">
        <v>21</v>
      </c>
      <c r="E128" s="523" t="s">
        <v>22</v>
      </c>
      <c r="F128" s="523"/>
      <c r="G128" s="523" t="s">
        <v>12</v>
      </c>
      <c r="H128" s="528"/>
      <c r="I128" s="164"/>
      <c r="J128" s="126" t="s">
        <v>39</v>
      </c>
      <c r="K128" s="127"/>
      <c r="L128" s="127"/>
      <c r="M128" s="22"/>
    </row>
    <row r="129" spans="1:13" s="152" customFormat="1" ht="17.25" thickBot="1">
      <c r="A129" s="521"/>
      <c r="B129" s="128" t="s">
        <v>1158</v>
      </c>
      <c r="C129" s="407" t="s">
        <v>1180</v>
      </c>
      <c r="D129" s="129">
        <v>43278</v>
      </c>
      <c r="E129" s="128"/>
      <c r="F129" s="128" t="s">
        <v>1181</v>
      </c>
      <c r="G129" s="524" t="s">
        <v>1182</v>
      </c>
      <c r="H129" s="525"/>
      <c r="I129" s="526"/>
      <c r="J129" s="130" t="s">
        <v>39</v>
      </c>
      <c r="K129" s="130"/>
      <c r="L129" s="130"/>
      <c r="M129" s="23"/>
    </row>
    <row r="130" spans="1:13" s="152" customFormat="1" ht="23.25" thickBot="1">
      <c r="A130" s="521"/>
      <c r="B130" s="153" t="s">
        <v>29</v>
      </c>
      <c r="C130" s="153" t="s">
        <v>30</v>
      </c>
      <c r="D130" s="153" t="s">
        <v>31</v>
      </c>
      <c r="E130" s="527" t="s">
        <v>32</v>
      </c>
      <c r="F130" s="527"/>
      <c r="G130" s="529"/>
      <c r="H130" s="530"/>
      <c r="I130" s="531"/>
      <c r="J130" s="131" t="s">
        <v>1169</v>
      </c>
      <c r="K130" s="132"/>
      <c r="L130" s="408" t="s">
        <v>28</v>
      </c>
      <c r="M130" s="68">
        <v>100</v>
      </c>
    </row>
    <row r="131" spans="1:13" s="152" customFormat="1" ht="23.25" thickBot="1">
      <c r="A131" s="522"/>
      <c r="B131" s="133" t="s">
        <v>1163</v>
      </c>
      <c r="C131" s="134" t="s">
        <v>1183</v>
      </c>
      <c r="D131" s="144">
        <v>43280</v>
      </c>
      <c r="E131" s="135" t="s">
        <v>36</v>
      </c>
      <c r="F131" s="140" t="s">
        <v>1184</v>
      </c>
      <c r="G131" s="539"/>
      <c r="H131" s="540"/>
      <c r="I131" s="541"/>
      <c r="J131" s="141" t="s">
        <v>38</v>
      </c>
      <c r="K131" s="142"/>
      <c r="L131" s="110" t="s">
        <v>28</v>
      </c>
      <c r="M131" s="82">
        <v>75</v>
      </c>
    </row>
    <row r="132" spans="1:13" s="152" customFormat="1" ht="24" customHeight="1" thickTop="1" thickBot="1">
      <c r="A132" s="518">
        <f>A131+229</f>
        <v>229</v>
      </c>
      <c r="B132" s="150" t="s">
        <v>19</v>
      </c>
      <c r="C132" s="150" t="s">
        <v>20</v>
      </c>
      <c r="D132" s="150" t="s">
        <v>21</v>
      </c>
      <c r="E132" s="523" t="s">
        <v>22</v>
      </c>
      <c r="F132" s="523"/>
      <c r="G132" s="523" t="s">
        <v>12</v>
      </c>
      <c r="H132" s="528"/>
      <c r="I132" s="164"/>
      <c r="J132" s="126" t="s">
        <v>39</v>
      </c>
      <c r="K132" s="127"/>
      <c r="L132" s="127"/>
      <c r="M132" s="22"/>
    </row>
    <row r="133" spans="1:13" s="152" customFormat="1" ht="15.75" thickBot="1">
      <c r="A133" s="521"/>
      <c r="B133" s="128" t="s">
        <v>1158</v>
      </c>
      <c r="C133" s="128" t="s">
        <v>1185</v>
      </c>
      <c r="D133" s="129">
        <v>43241</v>
      </c>
      <c r="E133" s="128"/>
      <c r="F133" s="128" t="s">
        <v>1186</v>
      </c>
      <c r="G133" s="524" t="s">
        <v>1187</v>
      </c>
      <c r="H133" s="525"/>
      <c r="I133" s="526"/>
      <c r="J133" s="130" t="s">
        <v>39</v>
      </c>
      <c r="K133" s="130"/>
      <c r="L133" s="130"/>
      <c r="M133" s="23"/>
    </row>
    <row r="134" spans="1:13" s="152" customFormat="1" ht="23.25" thickBot="1">
      <c r="A134" s="521"/>
      <c r="B134" s="153" t="s">
        <v>29</v>
      </c>
      <c r="C134" s="153" t="s">
        <v>30</v>
      </c>
      <c r="D134" s="153" t="s">
        <v>31</v>
      </c>
      <c r="E134" s="527" t="s">
        <v>32</v>
      </c>
      <c r="F134" s="527"/>
      <c r="G134" s="529"/>
      <c r="H134" s="530"/>
      <c r="I134" s="531"/>
      <c r="J134" s="131" t="s">
        <v>1169</v>
      </c>
      <c r="K134" s="132"/>
      <c r="L134" s="90" t="s">
        <v>28</v>
      </c>
      <c r="M134" s="68">
        <v>250</v>
      </c>
    </row>
    <row r="135" spans="1:13" s="152" customFormat="1" ht="15.75" thickBot="1">
      <c r="A135" s="522"/>
      <c r="B135" s="133" t="s">
        <v>1163</v>
      </c>
      <c r="C135" s="133" t="s">
        <v>1188</v>
      </c>
      <c r="D135" s="144">
        <v>43244</v>
      </c>
      <c r="E135" s="135" t="s">
        <v>36</v>
      </c>
      <c r="F135" s="25" t="s">
        <v>1189</v>
      </c>
      <c r="G135" s="539"/>
      <c r="H135" s="540"/>
      <c r="I135" s="541"/>
      <c r="J135" s="131" t="s">
        <v>38</v>
      </c>
      <c r="K135" s="132"/>
      <c r="L135" s="90" t="s">
        <v>28</v>
      </c>
      <c r="M135" s="68">
        <v>125</v>
      </c>
    </row>
    <row r="136" spans="1:13" s="152" customFormat="1" ht="24" customHeight="1" thickTop="1" thickBot="1">
      <c r="A136" s="518">
        <f>A135+230</f>
        <v>230</v>
      </c>
      <c r="B136" s="150" t="s">
        <v>19</v>
      </c>
      <c r="C136" s="150" t="s">
        <v>20</v>
      </c>
      <c r="D136" s="150" t="s">
        <v>21</v>
      </c>
      <c r="E136" s="523" t="s">
        <v>22</v>
      </c>
      <c r="F136" s="523"/>
      <c r="G136" s="523" t="s">
        <v>12</v>
      </c>
      <c r="H136" s="528"/>
      <c r="I136" s="164"/>
      <c r="J136" s="126" t="s">
        <v>39</v>
      </c>
      <c r="K136" s="127"/>
      <c r="L136" s="127"/>
      <c r="M136" s="22"/>
    </row>
    <row r="137" spans="1:13" s="152" customFormat="1" ht="23.25" thickBot="1">
      <c r="A137" s="521"/>
      <c r="B137" s="128" t="s">
        <v>1158</v>
      </c>
      <c r="C137" s="128" t="s">
        <v>1190</v>
      </c>
      <c r="D137" s="129">
        <v>43235</v>
      </c>
      <c r="E137" s="128"/>
      <c r="F137" s="128" t="s">
        <v>1191</v>
      </c>
      <c r="G137" s="524" t="s">
        <v>1192</v>
      </c>
      <c r="H137" s="525"/>
      <c r="I137" s="526"/>
      <c r="J137" s="130" t="s">
        <v>39</v>
      </c>
      <c r="K137" s="130"/>
      <c r="L137" s="130"/>
      <c r="M137" s="23"/>
    </row>
    <row r="138" spans="1:13" s="152" customFormat="1" ht="23.25" thickBot="1">
      <c r="A138" s="521"/>
      <c r="B138" s="153" t="s">
        <v>29</v>
      </c>
      <c r="C138" s="153" t="s">
        <v>30</v>
      </c>
      <c r="D138" s="153" t="s">
        <v>31</v>
      </c>
      <c r="E138" s="527" t="s">
        <v>32</v>
      </c>
      <c r="F138" s="527"/>
      <c r="G138" s="529"/>
      <c r="H138" s="530"/>
      <c r="I138" s="531"/>
      <c r="J138" s="131" t="s">
        <v>38</v>
      </c>
      <c r="K138" s="132"/>
      <c r="L138" s="90" t="s">
        <v>28</v>
      </c>
      <c r="M138" s="68">
        <v>50</v>
      </c>
    </row>
    <row r="139" spans="1:13" s="152" customFormat="1" ht="15.75" thickBot="1">
      <c r="A139" s="522"/>
      <c r="B139" s="133" t="s">
        <v>1163</v>
      </c>
      <c r="C139" s="133" t="s">
        <v>1193</v>
      </c>
      <c r="D139" s="144">
        <v>43239</v>
      </c>
      <c r="E139" s="135" t="s">
        <v>36</v>
      </c>
      <c r="F139" s="25" t="s">
        <v>987</v>
      </c>
      <c r="G139" s="539"/>
      <c r="H139" s="540"/>
      <c r="I139" s="541"/>
      <c r="J139" s="131" t="s">
        <v>41</v>
      </c>
      <c r="K139" s="132"/>
      <c r="L139" s="90"/>
      <c r="M139" s="24"/>
    </row>
    <row r="140" spans="1:13" s="152" customFormat="1" ht="24" customHeight="1" thickTop="1" thickBot="1">
      <c r="A140" s="518">
        <f>A139+231</f>
        <v>231</v>
      </c>
      <c r="B140" s="150" t="s">
        <v>19</v>
      </c>
      <c r="C140" s="150" t="s">
        <v>20</v>
      </c>
      <c r="D140" s="150" t="s">
        <v>21</v>
      </c>
      <c r="E140" s="523" t="s">
        <v>22</v>
      </c>
      <c r="F140" s="523"/>
      <c r="G140" s="565" t="s">
        <v>12</v>
      </c>
      <c r="H140" s="566"/>
      <c r="I140" s="567"/>
      <c r="J140" s="126" t="s">
        <v>39</v>
      </c>
      <c r="K140" s="127"/>
      <c r="L140" s="127"/>
      <c r="M140" s="137"/>
    </row>
    <row r="141" spans="1:13" s="152" customFormat="1" ht="34.5" thickBot="1">
      <c r="A141" s="521"/>
      <c r="B141" s="128" t="s">
        <v>179</v>
      </c>
      <c r="C141" s="128" t="s">
        <v>1194</v>
      </c>
      <c r="D141" s="129">
        <v>43329</v>
      </c>
      <c r="E141" s="128"/>
      <c r="F141" s="128" t="s">
        <v>226</v>
      </c>
      <c r="G141" s="524" t="s">
        <v>1195</v>
      </c>
      <c r="H141" s="585"/>
      <c r="I141" s="586"/>
      <c r="J141" s="130" t="s">
        <v>27</v>
      </c>
      <c r="K141" s="130"/>
      <c r="L141" s="130" t="s">
        <v>28</v>
      </c>
      <c r="M141" s="145">
        <v>268</v>
      </c>
    </row>
    <row r="142" spans="1:13" s="152" customFormat="1" ht="23.25" thickBot="1">
      <c r="A142" s="521"/>
      <c r="B142" s="153" t="s">
        <v>29</v>
      </c>
      <c r="C142" s="153" t="s">
        <v>30</v>
      </c>
      <c r="D142" s="153" t="s">
        <v>31</v>
      </c>
      <c r="E142" s="580" t="s">
        <v>32</v>
      </c>
      <c r="F142" s="581"/>
      <c r="G142" s="529"/>
      <c r="H142" s="530"/>
      <c r="I142" s="531"/>
      <c r="J142" s="131" t="s">
        <v>33</v>
      </c>
      <c r="K142" s="132"/>
      <c r="L142" s="132" t="s">
        <v>28</v>
      </c>
      <c r="M142" s="115">
        <v>783.68</v>
      </c>
    </row>
    <row r="143" spans="1:13" s="152" customFormat="1" ht="15.75" thickBot="1">
      <c r="A143" s="522"/>
      <c r="B143" s="133" t="s">
        <v>580</v>
      </c>
      <c r="C143" s="133" t="s">
        <v>1195</v>
      </c>
      <c r="D143" s="144">
        <v>43331</v>
      </c>
      <c r="E143" s="135" t="s">
        <v>36</v>
      </c>
      <c r="F143" s="136" t="s">
        <v>1196</v>
      </c>
      <c r="G143" s="582"/>
      <c r="H143" s="583"/>
      <c r="I143" s="584"/>
      <c r="J143" s="131" t="s">
        <v>38</v>
      </c>
      <c r="K143" s="132"/>
      <c r="L143" s="132" t="s">
        <v>28</v>
      </c>
      <c r="M143" s="115">
        <v>200</v>
      </c>
    </row>
    <row r="144" spans="1:13" s="152" customFormat="1" ht="24" customHeight="1" thickTop="1" thickBot="1">
      <c r="A144" s="518">
        <f>A143+232</f>
        <v>232</v>
      </c>
      <c r="B144" s="150" t="s">
        <v>19</v>
      </c>
      <c r="C144" s="150" t="s">
        <v>20</v>
      </c>
      <c r="D144" s="150" t="s">
        <v>21</v>
      </c>
      <c r="E144" s="528" t="s">
        <v>22</v>
      </c>
      <c r="F144" s="579"/>
      <c r="G144" s="528" t="s">
        <v>12</v>
      </c>
      <c r="H144" s="593"/>
      <c r="I144" s="164"/>
      <c r="J144" s="126" t="s">
        <v>39</v>
      </c>
      <c r="K144" s="127"/>
      <c r="L144" s="127"/>
      <c r="M144" s="137"/>
    </row>
    <row r="145" spans="1:13" s="152" customFormat="1" ht="34.5" thickBot="1">
      <c r="A145" s="521"/>
      <c r="B145" s="128" t="s">
        <v>1197</v>
      </c>
      <c r="C145" s="128" t="s">
        <v>1198</v>
      </c>
      <c r="D145" s="129">
        <v>43331</v>
      </c>
      <c r="E145" s="128"/>
      <c r="F145" s="128" t="s">
        <v>1199</v>
      </c>
      <c r="G145" s="524" t="s">
        <v>183</v>
      </c>
      <c r="H145" s="585"/>
      <c r="I145" s="586"/>
      <c r="J145" s="130" t="s">
        <v>27</v>
      </c>
      <c r="K145" s="130"/>
      <c r="L145" s="130" t="s">
        <v>28</v>
      </c>
      <c r="M145" s="146">
        <v>98.66</v>
      </c>
    </row>
    <row r="146" spans="1:13" s="152" customFormat="1" ht="23.25" thickBot="1">
      <c r="A146" s="521"/>
      <c r="B146" s="153" t="s">
        <v>29</v>
      </c>
      <c r="C146" s="153" t="s">
        <v>30</v>
      </c>
      <c r="D146" s="153" t="s">
        <v>31</v>
      </c>
      <c r="E146" s="580" t="s">
        <v>32</v>
      </c>
      <c r="F146" s="581"/>
      <c r="G146" s="529"/>
      <c r="H146" s="530"/>
      <c r="I146" s="531"/>
      <c r="J146" s="131" t="s">
        <v>33</v>
      </c>
      <c r="K146" s="132"/>
      <c r="L146" s="132" t="s">
        <v>28</v>
      </c>
      <c r="M146" s="309">
        <v>1627.75</v>
      </c>
    </row>
    <row r="147" spans="1:13" s="152" customFormat="1" ht="23.25" thickBot="1">
      <c r="A147" s="522"/>
      <c r="B147" s="134" t="s">
        <v>1200</v>
      </c>
      <c r="C147" s="134" t="s">
        <v>1201</v>
      </c>
      <c r="D147" s="144">
        <v>43333</v>
      </c>
      <c r="E147" s="135" t="s">
        <v>36</v>
      </c>
      <c r="F147" s="140" t="s">
        <v>1202</v>
      </c>
      <c r="G147" s="539"/>
      <c r="H147" s="540"/>
      <c r="I147" s="541"/>
      <c r="J147" s="141" t="s">
        <v>41</v>
      </c>
      <c r="K147" s="142"/>
      <c r="L147" s="142"/>
      <c r="M147" s="143"/>
    </row>
    <row r="148" spans="1:13" s="152" customFormat="1" ht="24" customHeight="1" thickTop="1" thickBot="1">
      <c r="A148" s="518">
        <f>A147+233</f>
        <v>233</v>
      </c>
      <c r="B148" s="150" t="s">
        <v>19</v>
      </c>
      <c r="C148" s="150" t="s">
        <v>20</v>
      </c>
      <c r="D148" s="150" t="s">
        <v>21</v>
      </c>
      <c r="E148" s="523" t="s">
        <v>22</v>
      </c>
      <c r="F148" s="523"/>
      <c r="G148" s="523" t="s">
        <v>12</v>
      </c>
      <c r="H148" s="528"/>
      <c r="I148" s="164"/>
      <c r="J148" s="126" t="s">
        <v>39</v>
      </c>
      <c r="K148" s="127"/>
      <c r="L148" s="127"/>
      <c r="M148" s="22"/>
    </row>
    <row r="149" spans="1:13" s="152" customFormat="1" ht="34.5" thickBot="1">
      <c r="A149" s="521"/>
      <c r="B149" s="128" t="s">
        <v>1203</v>
      </c>
      <c r="C149" s="128" t="s">
        <v>1198</v>
      </c>
      <c r="D149" s="129">
        <v>43243</v>
      </c>
      <c r="E149" s="128"/>
      <c r="F149" s="128" t="s">
        <v>235</v>
      </c>
      <c r="G149" s="524" t="s">
        <v>183</v>
      </c>
      <c r="H149" s="525"/>
      <c r="I149" s="526"/>
      <c r="J149" s="130" t="s">
        <v>27</v>
      </c>
      <c r="K149" s="130"/>
      <c r="L149" s="130" t="s">
        <v>28</v>
      </c>
      <c r="M149" s="145">
        <v>484</v>
      </c>
    </row>
    <row r="150" spans="1:13" s="152" customFormat="1" ht="23.25" thickBot="1">
      <c r="A150" s="521"/>
      <c r="B150" s="153" t="s">
        <v>29</v>
      </c>
      <c r="C150" s="153" t="s">
        <v>30</v>
      </c>
      <c r="D150" s="153" t="s">
        <v>31</v>
      </c>
      <c r="E150" s="527" t="s">
        <v>32</v>
      </c>
      <c r="F150" s="527"/>
      <c r="G150" s="529"/>
      <c r="H150" s="530"/>
      <c r="I150" s="531"/>
      <c r="J150" s="131" t="s">
        <v>33</v>
      </c>
      <c r="K150" s="132"/>
      <c r="L150" s="132" t="s">
        <v>28</v>
      </c>
      <c r="M150" s="68">
        <v>1459.31</v>
      </c>
    </row>
    <row r="151" spans="1:13" s="152" customFormat="1" ht="23.25" thickBot="1">
      <c r="A151" s="522"/>
      <c r="B151" s="133" t="s">
        <v>1204</v>
      </c>
      <c r="C151" s="133" t="s">
        <v>183</v>
      </c>
      <c r="D151" s="144">
        <v>43245</v>
      </c>
      <c r="E151" s="135" t="s">
        <v>36</v>
      </c>
      <c r="F151" s="25" t="s">
        <v>984</v>
      </c>
      <c r="G151" s="539"/>
      <c r="H151" s="540"/>
      <c r="I151" s="541"/>
      <c r="J151" s="131" t="s">
        <v>41</v>
      </c>
      <c r="K151" s="132"/>
      <c r="L151" s="132"/>
      <c r="M151" s="24"/>
    </row>
    <row r="152" spans="1:13" s="152" customFormat="1" ht="24" customHeight="1" thickTop="1" thickBot="1">
      <c r="A152" s="518">
        <f>A151+234</f>
        <v>234</v>
      </c>
      <c r="B152" s="150" t="s">
        <v>19</v>
      </c>
      <c r="C152" s="150" t="s">
        <v>20</v>
      </c>
      <c r="D152" s="150" t="s">
        <v>21</v>
      </c>
      <c r="E152" s="523" t="s">
        <v>22</v>
      </c>
      <c r="F152" s="523"/>
      <c r="G152" s="523" t="s">
        <v>12</v>
      </c>
      <c r="H152" s="528"/>
      <c r="I152" s="164"/>
      <c r="J152" s="126" t="s">
        <v>39</v>
      </c>
      <c r="K152" s="127"/>
      <c r="L152" s="127"/>
      <c r="M152" s="22"/>
    </row>
    <row r="153" spans="1:13" s="152" customFormat="1" ht="45.75" thickBot="1">
      <c r="A153" s="521"/>
      <c r="B153" s="128" t="s">
        <v>1205</v>
      </c>
      <c r="C153" s="128" t="s">
        <v>1206</v>
      </c>
      <c r="D153" s="129">
        <v>43349</v>
      </c>
      <c r="E153" s="128"/>
      <c r="F153" s="128" t="s">
        <v>1207</v>
      </c>
      <c r="G153" s="524" t="s">
        <v>1208</v>
      </c>
      <c r="H153" s="525"/>
      <c r="I153" s="526"/>
      <c r="J153" s="130" t="s">
        <v>27</v>
      </c>
      <c r="K153" s="130"/>
      <c r="L153" s="130" t="s">
        <v>28</v>
      </c>
      <c r="M153" s="65">
        <v>140</v>
      </c>
    </row>
    <row r="154" spans="1:13" s="152" customFormat="1" ht="23.25" thickBot="1">
      <c r="A154" s="521"/>
      <c r="B154" s="153" t="s">
        <v>29</v>
      </c>
      <c r="C154" s="153" t="s">
        <v>30</v>
      </c>
      <c r="D154" s="153" t="s">
        <v>31</v>
      </c>
      <c r="E154" s="527" t="s">
        <v>32</v>
      </c>
      <c r="F154" s="527"/>
      <c r="G154" s="529"/>
      <c r="H154" s="530"/>
      <c r="I154" s="531"/>
      <c r="J154" s="131" t="s">
        <v>33</v>
      </c>
      <c r="K154" s="132"/>
      <c r="L154" s="132" t="s">
        <v>28</v>
      </c>
      <c r="M154" s="68">
        <v>650</v>
      </c>
    </row>
    <row r="155" spans="1:13" s="152" customFormat="1" ht="23.25" thickBot="1">
      <c r="A155" s="522"/>
      <c r="B155" s="133" t="s">
        <v>1209</v>
      </c>
      <c r="C155" s="133" t="s">
        <v>1208</v>
      </c>
      <c r="D155" s="144">
        <v>43350</v>
      </c>
      <c r="E155" s="135" t="s">
        <v>36</v>
      </c>
      <c r="F155" s="25" t="s">
        <v>1210</v>
      </c>
      <c r="G155" s="539"/>
      <c r="H155" s="540"/>
      <c r="I155" s="541"/>
      <c r="J155" s="131" t="s">
        <v>38</v>
      </c>
      <c r="K155" s="132"/>
      <c r="L155" s="132" t="s">
        <v>28</v>
      </c>
      <c r="M155" s="66">
        <v>50</v>
      </c>
    </row>
    <row r="156" spans="1:13" s="152" customFormat="1" ht="24" customHeight="1" thickTop="1" thickBot="1">
      <c r="A156" s="518">
        <f>A155+235</f>
        <v>235</v>
      </c>
      <c r="B156" s="150" t="s">
        <v>19</v>
      </c>
      <c r="C156" s="150" t="s">
        <v>20</v>
      </c>
      <c r="D156" s="150" t="s">
        <v>21</v>
      </c>
      <c r="E156" s="523" t="s">
        <v>22</v>
      </c>
      <c r="F156" s="523"/>
      <c r="G156" s="523" t="s">
        <v>12</v>
      </c>
      <c r="H156" s="528"/>
      <c r="I156" s="164"/>
      <c r="J156" s="126" t="s">
        <v>39</v>
      </c>
      <c r="K156" s="127"/>
      <c r="L156" s="127"/>
      <c r="M156" s="22"/>
    </row>
    <row r="157" spans="1:13" s="152" customFormat="1" ht="45.75" thickBot="1">
      <c r="A157" s="521"/>
      <c r="B157" s="128" t="s">
        <v>1211</v>
      </c>
      <c r="C157" s="128" t="s">
        <v>1206</v>
      </c>
      <c r="D157" s="129">
        <v>43349</v>
      </c>
      <c r="E157" s="128"/>
      <c r="F157" s="128" t="s">
        <v>1207</v>
      </c>
      <c r="G157" s="524" t="s">
        <v>1208</v>
      </c>
      <c r="H157" s="525"/>
      <c r="I157" s="526"/>
      <c r="J157" s="130" t="s">
        <v>33</v>
      </c>
      <c r="K157" s="130"/>
      <c r="L157" s="130" t="s">
        <v>28</v>
      </c>
      <c r="M157" s="65">
        <v>650</v>
      </c>
    </row>
    <row r="158" spans="1:13" s="152" customFormat="1" ht="23.25" thickBot="1">
      <c r="A158" s="521"/>
      <c r="B158" s="153" t="s">
        <v>29</v>
      </c>
      <c r="C158" s="153" t="s">
        <v>30</v>
      </c>
      <c r="D158" s="153" t="s">
        <v>31</v>
      </c>
      <c r="E158" s="527" t="s">
        <v>32</v>
      </c>
      <c r="F158" s="527"/>
      <c r="G158" s="529"/>
      <c r="H158" s="530"/>
      <c r="I158" s="531"/>
      <c r="J158" s="131" t="s">
        <v>38</v>
      </c>
      <c r="K158" s="132"/>
      <c r="L158" s="132" t="s">
        <v>28</v>
      </c>
      <c r="M158" s="68">
        <v>50</v>
      </c>
    </row>
    <row r="159" spans="1:13" s="152" customFormat="1" ht="23.25" thickBot="1">
      <c r="A159" s="522"/>
      <c r="B159" s="134" t="s">
        <v>1212</v>
      </c>
      <c r="C159" s="134" t="s">
        <v>1208</v>
      </c>
      <c r="D159" s="144">
        <v>43350</v>
      </c>
      <c r="E159" s="135" t="s">
        <v>36</v>
      </c>
      <c r="F159" s="25" t="s">
        <v>1210</v>
      </c>
      <c r="G159" s="539"/>
      <c r="H159" s="540"/>
      <c r="I159" s="541"/>
      <c r="J159" s="141" t="s">
        <v>41</v>
      </c>
      <c r="K159" s="142"/>
      <c r="L159" s="142"/>
      <c r="M159" s="36"/>
    </row>
    <row r="160" spans="1:13" s="152" customFormat="1" ht="24" customHeight="1" thickTop="1" thickBot="1">
      <c r="A160" s="518">
        <f>A159+236</f>
        <v>236</v>
      </c>
      <c r="B160" s="150" t="s">
        <v>19</v>
      </c>
      <c r="C160" s="150" t="s">
        <v>20</v>
      </c>
      <c r="D160" s="150" t="s">
        <v>21</v>
      </c>
      <c r="E160" s="523" t="s">
        <v>22</v>
      </c>
      <c r="F160" s="523"/>
      <c r="G160" s="523" t="s">
        <v>12</v>
      </c>
      <c r="H160" s="528"/>
      <c r="I160" s="164"/>
      <c r="J160" s="126" t="s">
        <v>39</v>
      </c>
      <c r="K160" s="127"/>
      <c r="L160" s="127"/>
      <c r="M160" s="22"/>
    </row>
    <row r="161" spans="1:13" s="152" customFormat="1" ht="45.75" thickBot="1">
      <c r="A161" s="521"/>
      <c r="B161" s="128" t="s">
        <v>1213</v>
      </c>
      <c r="C161" s="128" t="s">
        <v>1206</v>
      </c>
      <c r="D161" s="129">
        <v>43349</v>
      </c>
      <c r="E161" s="128"/>
      <c r="F161" s="128" t="s">
        <v>1207</v>
      </c>
      <c r="G161" s="524" t="s">
        <v>1208</v>
      </c>
      <c r="H161" s="525"/>
      <c r="I161" s="526"/>
      <c r="J161" s="130" t="s">
        <v>27</v>
      </c>
      <c r="K161" s="130"/>
      <c r="L161" s="130" t="s">
        <v>28</v>
      </c>
      <c r="M161" s="65">
        <v>140</v>
      </c>
    </row>
    <row r="162" spans="1:13" s="152" customFormat="1" ht="23.25" thickBot="1">
      <c r="A162" s="521"/>
      <c r="B162" s="153" t="s">
        <v>29</v>
      </c>
      <c r="C162" s="153" t="s">
        <v>30</v>
      </c>
      <c r="D162" s="153" t="s">
        <v>31</v>
      </c>
      <c r="E162" s="527" t="s">
        <v>32</v>
      </c>
      <c r="F162" s="527"/>
      <c r="G162" s="529"/>
      <c r="H162" s="530"/>
      <c r="I162" s="531"/>
      <c r="J162" s="131" t="s">
        <v>33</v>
      </c>
      <c r="K162" s="132"/>
      <c r="L162" s="132" t="s">
        <v>28</v>
      </c>
      <c r="M162" s="68">
        <v>650</v>
      </c>
    </row>
    <row r="163" spans="1:13" s="152" customFormat="1" ht="23.25" thickBot="1">
      <c r="A163" s="522"/>
      <c r="B163" s="133" t="s">
        <v>1209</v>
      </c>
      <c r="C163" s="133" t="s">
        <v>1208</v>
      </c>
      <c r="D163" s="144">
        <v>43350</v>
      </c>
      <c r="E163" s="135" t="s">
        <v>36</v>
      </c>
      <c r="F163" s="25" t="s">
        <v>1210</v>
      </c>
      <c r="G163" s="539"/>
      <c r="H163" s="540"/>
      <c r="I163" s="541"/>
      <c r="J163" s="131" t="s">
        <v>38</v>
      </c>
      <c r="K163" s="132"/>
      <c r="L163" s="132" t="s">
        <v>28</v>
      </c>
      <c r="M163" s="66">
        <v>50</v>
      </c>
    </row>
    <row r="164" spans="1:13" s="152" customFormat="1" ht="24" customHeight="1" thickTop="1" thickBot="1">
      <c r="A164" s="518">
        <f>A159+237</f>
        <v>237</v>
      </c>
      <c r="B164" s="150" t="s">
        <v>19</v>
      </c>
      <c r="C164" s="150" t="s">
        <v>20</v>
      </c>
      <c r="D164" s="150" t="s">
        <v>21</v>
      </c>
      <c r="E164" s="523" t="s">
        <v>22</v>
      </c>
      <c r="F164" s="523"/>
      <c r="G164" s="523" t="s">
        <v>12</v>
      </c>
      <c r="H164" s="528"/>
      <c r="I164" s="164"/>
      <c r="J164" s="126" t="s">
        <v>39</v>
      </c>
      <c r="K164" s="127"/>
      <c r="L164" s="127"/>
      <c r="M164" s="22"/>
    </row>
    <row r="165" spans="1:13" s="152" customFormat="1" ht="45.75" thickBot="1">
      <c r="A165" s="521"/>
      <c r="B165" s="128" t="s">
        <v>1214</v>
      </c>
      <c r="C165" s="128" t="s">
        <v>1206</v>
      </c>
      <c r="D165" s="129">
        <v>43349</v>
      </c>
      <c r="E165" s="128"/>
      <c r="F165" s="128" t="s">
        <v>1207</v>
      </c>
      <c r="G165" s="524" t="s">
        <v>1208</v>
      </c>
      <c r="H165" s="525"/>
      <c r="I165" s="526"/>
      <c r="J165" s="130" t="s">
        <v>27</v>
      </c>
      <c r="K165" s="130"/>
      <c r="L165" s="130" t="s">
        <v>28</v>
      </c>
      <c r="M165" s="65">
        <v>140</v>
      </c>
    </row>
    <row r="166" spans="1:13" s="152" customFormat="1" ht="23.25" thickBot="1">
      <c r="A166" s="521"/>
      <c r="B166" s="153" t="s">
        <v>29</v>
      </c>
      <c r="C166" s="153" t="s">
        <v>30</v>
      </c>
      <c r="D166" s="153" t="s">
        <v>31</v>
      </c>
      <c r="E166" s="527" t="s">
        <v>32</v>
      </c>
      <c r="F166" s="527"/>
      <c r="G166" s="529"/>
      <c r="H166" s="530"/>
      <c r="I166" s="531"/>
      <c r="J166" s="131" t="s">
        <v>33</v>
      </c>
      <c r="K166" s="132"/>
      <c r="L166" s="132" t="s">
        <v>28</v>
      </c>
      <c r="M166" s="68">
        <v>650</v>
      </c>
    </row>
    <row r="167" spans="1:13" s="152" customFormat="1" ht="23.25" thickBot="1">
      <c r="A167" s="522"/>
      <c r="B167" s="133" t="s">
        <v>1215</v>
      </c>
      <c r="C167" s="133" t="s">
        <v>1208</v>
      </c>
      <c r="D167" s="144">
        <v>43350</v>
      </c>
      <c r="E167" s="135" t="s">
        <v>36</v>
      </c>
      <c r="F167" s="25" t="s">
        <v>1210</v>
      </c>
      <c r="G167" s="539"/>
      <c r="H167" s="540"/>
      <c r="I167" s="541"/>
      <c r="J167" s="131" t="s">
        <v>38</v>
      </c>
      <c r="K167" s="132"/>
      <c r="L167" s="132" t="s">
        <v>28</v>
      </c>
      <c r="M167" s="66">
        <v>50</v>
      </c>
    </row>
    <row r="168" spans="1:13" s="152" customFormat="1" ht="24" customHeight="1" thickTop="1" thickBot="1">
      <c r="A168" s="518">
        <f>A163+238</f>
        <v>238</v>
      </c>
      <c r="B168" s="150" t="s">
        <v>19</v>
      </c>
      <c r="C168" s="150" t="s">
        <v>20</v>
      </c>
      <c r="D168" s="150" t="s">
        <v>21</v>
      </c>
      <c r="E168" s="523" t="s">
        <v>22</v>
      </c>
      <c r="F168" s="523"/>
      <c r="G168" s="523" t="s">
        <v>12</v>
      </c>
      <c r="H168" s="528"/>
      <c r="I168" s="164"/>
      <c r="J168" s="126" t="s">
        <v>39</v>
      </c>
      <c r="K168" s="127"/>
      <c r="L168" s="127"/>
      <c r="M168" s="22"/>
    </row>
    <row r="169" spans="1:13" s="152" customFormat="1" ht="45.75" thickBot="1">
      <c r="A169" s="521"/>
      <c r="B169" s="128" t="s">
        <v>1216</v>
      </c>
      <c r="C169" s="128" t="s">
        <v>1206</v>
      </c>
      <c r="D169" s="129">
        <v>43349</v>
      </c>
      <c r="E169" s="128"/>
      <c r="F169" s="128" t="s">
        <v>1207</v>
      </c>
      <c r="G169" s="524" t="s">
        <v>1208</v>
      </c>
      <c r="H169" s="525"/>
      <c r="I169" s="526"/>
      <c r="J169" s="130" t="s">
        <v>27</v>
      </c>
      <c r="K169" s="130"/>
      <c r="L169" s="130" t="s">
        <v>28</v>
      </c>
      <c r="M169" s="65">
        <v>140</v>
      </c>
    </row>
    <row r="170" spans="1:13" s="152" customFormat="1" ht="23.25" thickBot="1">
      <c r="A170" s="521"/>
      <c r="B170" s="153" t="s">
        <v>29</v>
      </c>
      <c r="C170" s="153" t="s">
        <v>30</v>
      </c>
      <c r="D170" s="153" t="s">
        <v>31</v>
      </c>
      <c r="E170" s="527" t="s">
        <v>32</v>
      </c>
      <c r="F170" s="527"/>
      <c r="G170" s="529"/>
      <c r="H170" s="530"/>
      <c r="I170" s="531"/>
      <c r="J170" s="131" t="s">
        <v>33</v>
      </c>
      <c r="K170" s="132"/>
      <c r="L170" s="132" t="s">
        <v>28</v>
      </c>
      <c r="M170" s="68">
        <v>650</v>
      </c>
    </row>
    <row r="171" spans="1:13" s="152" customFormat="1" ht="23.25" thickBot="1">
      <c r="A171" s="522"/>
      <c r="B171" s="133" t="s">
        <v>1209</v>
      </c>
      <c r="C171" s="133" t="s">
        <v>1208</v>
      </c>
      <c r="D171" s="144">
        <v>43350</v>
      </c>
      <c r="E171" s="135" t="s">
        <v>36</v>
      </c>
      <c r="F171" s="25" t="s">
        <v>1210</v>
      </c>
      <c r="G171" s="539"/>
      <c r="H171" s="540"/>
      <c r="I171" s="541"/>
      <c r="J171" s="131" t="s">
        <v>38</v>
      </c>
      <c r="K171" s="132"/>
      <c r="L171" s="132" t="s">
        <v>28</v>
      </c>
      <c r="M171" s="66">
        <v>50</v>
      </c>
    </row>
    <row r="172" spans="1:13" s="152" customFormat="1" ht="24" customHeight="1" thickTop="1" thickBot="1">
      <c r="A172" s="518">
        <f>A171+239</f>
        <v>239</v>
      </c>
      <c r="B172" s="150" t="s">
        <v>19</v>
      </c>
      <c r="C172" s="150" t="s">
        <v>20</v>
      </c>
      <c r="D172" s="150" t="s">
        <v>21</v>
      </c>
      <c r="E172" s="523" t="s">
        <v>22</v>
      </c>
      <c r="F172" s="523"/>
      <c r="G172" s="523" t="s">
        <v>12</v>
      </c>
      <c r="H172" s="528"/>
      <c r="I172" s="164"/>
      <c r="J172" s="126" t="s">
        <v>39</v>
      </c>
      <c r="K172" s="127"/>
      <c r="L172" s="127"/>
      <c r="M172" s="22"/>
    </row>
    <row r="173" spans="1:13" s="152" customFormat="1" ht="45.75" thickBot="1">
      <c r="A173" s="521"/>
      <c r="B173" s="128" t="s">
        <v>1217</v>
      </c>
      <c r="C173" s="128" t="s">
        <v>1206</v>
      </c>
      <c r="D173" s="129">
        <v>43349</v>
      </c>
      <c r="E173" s="128"/>
      <c r="F173" s="128" t="s">
        <v>1207</v>
      </c>
      <c r="G173" s="524" t="s">
        <v>1208</v>
      </c>
      <c r="H173" s="525"/>
      <c r="I173" s="526"/>
      <c r="J173" s="130" t="s">
        <v>27</v>
      </c>
      <c r="K173" s="130"/>
      <c r="L173" s="130" t="s">
        <v>28</v>
      </c>
      <c r="M173" s="65">
        <v>140</v>
      </c>
    </row>
    <row r="174" spans="1:13" s="152" customFormat="1" ht="23.25" thickBot="1">
      <c r="A174" s="521"/>
      <c r="B174" s="153" t="s">
        <v>29</v>
      </c>
      <c r="C174" s="153" t="s">
        <v>30</v>
      </c>
      <c r="D174" s="153" t="s">
        <v>31</v>
      </c>
      <c r="E174" s="527" t="s">
        <v>32</v>
      </c>
      <c r="F174" s="527"/>
      <c r="G174" s="529"/>
      <c r="H174" s="530"/>
      <c r="I174" s="531"/>
      <c r="J174" s="131" t="s">
        <v>33</v>
      </c>
      <c r="K174" s="132"/>
      <c r="L174" s="132" t="s">
        <v>28</v>
      </c>
      <c r="M174" s="68">
        <v>650</v>
      </c>
    </row>
    <row r="175" spans="1:13" s="152" customFormat="1" ht="23.25" thickBot="1">
      <c r="A175" s="522"/>
      <c r="B175" s="133" t="s">
        <v>1218</v>
      </c>
      <c r="C175" s="133" t="s">
        <v>1208</v>
      </c>
      <c r="D175" s="144">
        <v>43350</v>
      </c>
      <c r="E175" s="135" t="s">
        <v>36</v>
      </c>
      <c r="F175" s="25" t="s">
        <v>1210</v>
      </c>
      <c r="G175" s="539"/>
      <c r="H175" s="540"/>
      <c r="I175" s="541"/>
      <c r="J175" s="131" t="s">
        <v>38</v>
      </c>
      <c r="K175" s="132"/>
      <c r="L175" s="132" t="s">
        <v>28</v>
      </c>
      <c r="M175" s="66">
        <v>50</v>
      </c>
    </row>
    <row r="176" spans="1:13" s="152" customFormat="1" ht="24" customHeight="1" thickTop="1" thickBot="1">
      <c r="A176" s="518">
        <f>A175+240</f>
        <v>240</v>
      </c>
      <c r="B176" s="150" t="s">
        <v>19</v>
      </c>
      <c r="C176" s="150" t="s">
        <v>20</v>
      </c>
      <c r="D176" s="150" t="s">
        <v>21</v>
      </c>
      <c r="E176" s="523" t="s">
        <v>22</v>
      </c>
      <c r="F176" s="523"/>
      <c r="G176" s="523" t="s">
        <v>12</v>
      </c>
      <c r="H176" s="528"/>
      <c r="I176" s="164"/>
      <c r="J176" s="126" t="s">
        <v>39</v>
      </c>
      <c r="K176" s="127"/>
      <c r="L176" s="127"/>
      <c r="M176" s="22"/>
    </row>
    <row r="177" spans="1:13" s="152" customFormat="1" ht="45.75" thickBot="1">
      <c r="A177" s="521"/>
      <c r="B177" s="128" t="s">
        <v>1219</v>
      </c>
      <c r="C177" s="128" t="s">
        <v>1206</v>
      </c>
      <c r="D177" s="129">
        <v>43349</v>
      </c>
      <c r="E177" s="128"/>
      <c r="F177" s="128" t="s">
        <v>1207</v>
      </c>
      <c r="G177" s="524" t="s">
        <v>1208</v>
      </c>
      <c r="H177" s="525"/>
      <c r="I177" s="526"/>
      <c r="J177" s="130" t="s">
        <v>27</v>
      </c>
      <c r="K177" s="130"/>
      <c r="L177" s="130" t="s">
        <v>28</v>
      </c>
      <c r="M177" s="65">
        <v>140</v>
      </c>
    </row>
    <row r="178" spans="1:13" s="152" customFormat="1" ht="23.25" thickBot="1">
      <c r="A178" s="521"/>
      <c r="B178" s="153" t="s">
        <v>29</v>
      </c>
      <c r="C178" s="153" t="s">
        <v>30</v>
      </c>
      <c r="D178" s="153" t="s">
        <v>31</v>
      </c>
      <c r="E178" s="527" t="s">
        <v>32</v>
      </c>
      <c r="F178" s="527"/>
      <c r="G178" s="529"/>
      <c r="H178" s="530"/>
      <c r="I178" s="531"/>
      <c r="J178" s="131" t="s">
        <v>33</v>
      </c>
      <c r="K178" s="132"/>
      <c r="L178" s="132" t="s">
        <v>28</v>
      </c>
      <c r="M178" s="68">
        <v>650</v>
      </c>
    </row>
    <row r="179" spans="1:13" s="152" customFormat="1" ht="23.25" thickBot="1">
      <c r="A179" s="522"/>
      <c r="B179" s="133" t="s">
        <v>1218</v>
      </c>
      <c r="C179" s="133" t="s">
        <v>1208</v>
      </c>
      <c r="D179" s="144">
        <v>43350</v>
      </c>
      <c r="E179" s="135" t="s">
        <v>36</v>
      </c>
      <c r="F179" s="25" t="s">
        <v>1210</v>
      </c>
      <c r="G179" s="539"/>
      <c r="H179" s="540"/>
      <c r="I179" s="541"/>
      <c r="J179" s="131" t="s">
        <v>38</v>
      </c>
      <c r="K179" s="132"/>
      <c r="L179" s="132" t="s">
        <v>28</v>
      </c>
      <c r="M179" s="66">
        <v>50</v>
      </c>
    </row>
    <row r="180" spans="1:13" s="152" customFormat="1" ht="24" customHeight="1" thickTop="1" thickBot="1">
      <c r="A180" s="518">
        <f>A179+241</f>
        <v>241</v>
      </c>
      <c r="B180" s="150" t="s">
        <v>19</v>
      </c>
      <c r="C180" s="150" t="s">
        <v>20</v>
      </c>
      <c r="D180" s="150" t="s">
        <v>21</v>
      </c>
      <c r="E180" s="523" t="s">
        <v>22</v>
      </c>
      <c r="F180" s="523"/>
      <c r="G180" s="523" t="s">
        <v>12</v>
      </c>
      <c r="H180" s="528"/>
      <c r="I180" s="164"/>
      <c r="J180" s="126" t="s">
        <v>39</v>
      </c>
      <c r="K180" s="127"/>
      <c r="L180" s="127"/>
      <c r="M180" s="22"/>
    </row>
    <row r="181" spans="1:13" s="152" customFormat="1" ht="45.75" thickBot="1">
      <c r="A181" s="521"/>
      <c r="B181" s="128" t="s">
        <v>1220</v>
      </c>
      <c r="C181" s="128" t="s">
        <v>1206</v>
      </c>
      <c r="D181" s="129">
        <v>43349</v>
      </c>
      <c r="E181" s="128"/>
      <c r="F181" s="128" t="s">
        <v>1207</v>
      </c>
      <c r="G181" s="524" t="s">
        <v>1208</v>
      </c>
      <c r="H181" s="525"/>
      <c r="I181" s="526"/>
      <c r="J181" s="130" t="s">
        <v>27</v>
      </c>
      <c r="K181" s="130"/>
      <c r="L181" s="130" t="s">
        <v>28</v>
      </c>
      <c r="M181" s="65">
        <v>140</v>
      </c>
    </row>
    <row r="182" spans="1:13" s="152" customFormat="1" ht="23.25" thickBot="1">
      <c r="A182" s="521"/>
      <c r="B182" s="153" t="s">
        <v>29</v>
      </c>
      <c r="C182" s="153" t="s">
        <v>30</v>
      </c>
      <c r="D182" s="153" t="s">
        <v>31</v>
      </c>
      <c r="E182" s="527" t="s">
        <v>32</v>
      </c>
      <c r="F182" s="527"/>
      <c r="G182" s="529"/>
      <c r="H182" s="530"/>
      <c r="I182" s="531"/>
      <c r="J182" s="131" t="s">
        <v>33</v>
      </c>
      <c r="K182" s="132"/>
      <c r="L182" s="132" t="s">
        <v>28</v>
      </c>
      <c r="M182" s="68">
        <v>650</v>
      </c>
    </row>
    <row r="183" spans="1:13" s="152" customFormat="1" ht="23.25" thickBot="1">
      <c r="A183" s="522"/>
      <c r="B183" s="133" t="s">
        <v>1209</v>
      </c>
      <c r="C183" s="133" t="s">
        <v>1208</v>
      </c>
      <c r="D183" s="144">
        <v>43350</v>
      </c>
      <c r="E183" s="135" t="s">
        <v>36</v>
      </c>
      <c r="F183" s="25" t="s">
        <v>1210</v>
      </c>
      <c r="G183" s="539"/>
      <c r="H183" s="540"/>
      <c r="I183" s="541"/>
      <c r="J183" s="131" t="s">
        <v>38</v>
      </c>
      <c r="K183" s="132"/>
      <c r="L183" s="132" t="s">
        <v>28</v>
      </c>
      <c r="M183" s="66">
        <v>50</v>
      </c>
    </row>
    <row r="184" spans="1:13" s="152" customFormat="1" ht="24" customHeight="1" thickTop="1" thickBot="1">
      <c r="A184" s="518">
        <f>A183+242</f>
        <v>242</v>
      </c>
      <c r="B184" s="150" t="s">
        <v>19</v>
      </c>
      <c r="C184" s="150" t="s">
        <v>20</v>
      </c>
      <c r="D184" s="150" t="s">
        <v>21</v>
      </c>
      <c r="E184" s="523" t="s">
        <v>22</v>
      </c>
      <c r="F184" s="523"/>
      <c r="G184" s="523" t="s">
        <v>12</v>
      </c>
      <c r="H184" s="528"/>
      <c r="I184" s="164"/>
      <c r="J184" s="126" t="s">
        <v>39</v>
      </c>
      <c r="K184" s="127"/>
      <c r="L184" s="127"/>
      <c r="M184" s="22"/>
    </row>
    <row r="185" spans="1:13" s="152" customFormat="1" ht="45.75" thickBot="1">
      <c r="A185" s="521"/>
      <c r="B185" s="128" t="s">
        <v>1221</v>
      </c>
      <c r="C185" s="128" t="s">
        <v>1206</v>
      </c>
      <c r="D185" s="129">
        <v>43349</v>
      </c>
      <c r="E185" s="128"/>
      <c r="F185" s="128" t="s">
        <v>1207</v>
      </c>
      <c r="G185" s="524" t="s">
        <v>1208</v>
      </c>
      <c r="H185" s="525"/>
      <c r="I185" s="526"/>
      <c r="J185" s="130" t="s">
        <v>27</v>
      </c>
      <c r="K185" s="130"/>
      <c r="L185" s="130" t="s">
        <v>28</v>
      </c>
      <c r="M185" s="65">
        <v>140</v>
      </c>
    </row>
    <row r="186" spans="1:13" s="152" customFormat="1" ht="23.25" thickBot="1">
      <c r="A186" s="521"/>
      <c r="B186" s="153" t="s">
        <v>29</v>
      </c>
      <c r="C186" s="153" t="s">
        <v>30</v>
      </c>
      <c r="D186" s="153" t="s">
        <v>31</v>
      </c>
      <c r="E186" s="527" t="s">
        <v>32</v>
      </c>
      <c r="F186" s="527"/>
      <c r="G186" s="529"/>
      <c r="H186" s="530"/>
      <c r="I186" s="531"/>
      <c r="J186" s="131" t="s">
        <v>33</v>
      </c>
      <c r="K186" s="132"/>
      <c r="L186" s="132" t="s">
        <v>28</v>
      </c>
      <c r="M186" s="68">
        <v>650</v>
      </c>
    </row>
    <row r="187" spans="1:13" s="152" customFormat="1" ht="23.25" thickBot="1">
      <c r="A187" s="522"/>
      <c r="B187" s="133" t="s">
        <v>1222</v>
      </c>
      <c r="C187" s="133" t="s">
        <v>1208</v>
      </c>
      <c r="D187" s="144">
        <v>43350</v>
      </c>
      <c r="E187" s="135" t="s">
        <v>36</v>
      </c>
      <c r="F187" s="25" t="s">
        <v>1210</v>
      </c>
      <c r="G187" s="539"/>
      <c r="H187" s="540"/>
      <c r="I187" s="541"/>
      <c r="J187" s="131" t="s">
        <v>38</v>
      </c>
      <c r="K187" s="132"/>
      <c r="L187" s="132" t="s">
        <v>28</v>
      </c>
      <c r="M187" s="66">
        <v>50</v>
      </c>
    </row>
    <row r="188" spans="1:13" s="152" customFormat="1" ht="24" customHeight="1" thickTop="1" thickBot="1">
      <c r="A188" s="518">
        <f>A187+243</f>
        <v>243</v>
      </c>
      <c r="B188" s="150" t="s">
        <v>19</v>
      </c>
      <c r="C188" s="150" t="s">
        <v>20</v>
      </c>
      <c r="D188" s="150" t="s">
        <v>21</v>
      </c>
      <c r="E188" s="523" t="s">
        <v>22</v>
      </c>
      <c r="F188" s="523"/>
      <c r="G188" s="523" t="s">
        <v>12</v>
      </c>
      <c r="H188" s="528"/>
      <c r="I188" s="164"/>
      <c r="J188" s="126" t="s">
        <v>39</v>
      </c>
      <c r="K188" s="127"/>
      <c r="L188" s="127"/>
      <c r="M188" s="22"/>
    </row>
    <row r="189" spans="1:13" s="152" customFormat="1" ht="45.75" thickBot="1">
      <c r="A189" s="521"/>
      <c r="B189" s="128" t="s">
        <v>1223</v>
      </c>
      <c r="C189" s="128" t="s">
        <v>1206</v>
      </c>
      <c r="D189" s="129">
        <v>43349</v>
      </c>
      <c r="E189" s="128"/>
      <c r="F189" s="128" t="s">
        <v>1207</v>
      </c>
      <c r="G189" s="524" t="s">
        <v>1208</v>
      </c>
      <c r="H189" s="525"/>
      <c r="I189" s="526"/>
      <c r="J189" s="130" t="s">
        <v>27</v>
      </c>
      <c r="K189" s="130"/>
      <c r="L189" s="130" t="s">
        <v>28</v>
      </c>
      <c r="M189" s="65">
        <v>140</v>
      </c>
    </row>
    <row r="190" spans="1:13" s="152" customFormat="1" ht="23.25" thickBot="1">
      <c r="A190" s="521"/>
      <c r="B190" s="153" t="s">
        <v>29</v>
      </c>
      <c r="C190" s="153" t="s">
        <v>30</v>
      </c>
      <c r="D190" s="153" t="s">
        <v>31</v>
      </c>
      <c r="E190" s="527" t="s">
        <v>32</v>
      </c>
      <c r="F190" s="527"/>
      <c r="G190" s="529"/>
      <c r="H190" s="530"/>
      <c r="I190" s="531"/>
      <c r="J190" s="131" t="s">
        <v>33</v>
      </c>
      <c r="K190" s="132"/>
      <c r="L190" s="132" t="s">
        <v>28</v>
      </c>
      <c r="M190" s="68">
        <v>650</v>
      </c>
    </row>
    <row r="191" spans="1:13" s="152" customFormat="1" ht="23.25" thickBot="1">
      <c r="A191" s="522"/>
      <c r="B191" s="133" t="s">
        <v>1222</v>
      </c>
      <c r="C191" s="133" t="s">
        <v>1208</v>
      </c>
      <c r="D191" s="144">
        <v>43350</v>
      </c>
      <c r="E191" s="135" t="s">
        <v>36</v>
      </c>
      <c r="F191" s="25" t="s">
        <v>1210</v>
      </c>
      <c r="G191" s="539"/>
      <c r="H191" s="540"/>
      <c r="I191" s="541"/>
      <c r="J191" s="131" t="s">
        <v>38</v>
      </c>
      <c r="K191" s="132"/>
      <c r="L191" s="132" t="s">
        <v>28</v>
      </c>
      <c r="M191" s="66">
        <v>50</v>
      </c>
    </row>
    <row r="192" spans="1:13" s="152" customFormat="1" ht="24" customHeight="1" thickTop="1" thickBot="1">
      <c r="A192" s="518">
        <f>A191+244</f>
        <v>244</v>
      </c>
      <c r="B192" s="150" t="s">
        <v>19</v>
      </c>
      <c r="C192" s="150" t="s">
        <v>20</v>
      </c>
      <c r="D192" s="150" t="s">
        <v>21</v>
      </c>
      <c r="E192" s="523" t="s">
        <v>22</v>
      </c>
      <c r="F192" s="523"/>
      <c r="G192" s="523" t="s">
        <v>12</v>
      </c>
      <c r="H192" s="528"/>
      <c r="I192" s="164"/>
      <c r="J192" s="126" t="s">
        <v>39</v>
      </c>
      <c r="K192" s="127"/>
      <c r="L192" s="127"/>
      <c r="M192" s="22"/>
    </row>
    <row r="193" spans="1:13" s="152" customFormat="1" ht="45.75" thickBot="1">
      <c r="A193" s="521"/>
      <c r="B193" s="128" t="s">
        <v>1224</v>
      </c>
      <c r="C193" s="128" t="s">
        <v>1206</v>
      </c>
      <c r="D193" s="129">
        <v>43349</v>
      </c>
      <c r="E193" s="128"/>
      <c r="F193" s="128" t="s">
        <v>1207</v>
      </c>
      <c r="G193" s="524" t="s">
        <v>1208</v>
      </c>
      <c r="H193" s="525"/>
      <c r="I193" s="526"/>
      <c r="J193" s="130" t="s">
        <v>27</v>
      </c>
      <c r="K193" s="130"/>
      <c r="L193" s="130" t="s">
        <v>28</v>
      </c>
      <c r="M193" s="65">
        <v>140</v>
      </c>
    </row>
    <row r="194" spans="1:13" s="152" customFormat="1" ht="23.25" thickBot="1">
      <c r="A194" s="521"/>
      <c r="B194" s="153" t="s">
        <v>29</v>
      </c>
      <c r="C194" s="153" t="s">
        <v>30</v>
      </c>
      <c r="D194" s="153" t="s">
        <v>31</v>
      </c>
      <c r="E194" s="527" t="s">
        <v>32</v>
      </c>
      <c r="F194" s="527"/>
      <c r="G194" s="529"/>
      <c r="H194" s="530"/>
      <c r="I194" s="531"/>
      <c r="J194" s="131" t="s">
        <v>33</v>
      </c>
      <c r="K194" s="132"/>
      <c r="L194" s="132" t="s">
        <v>28</v>
      </c>
      <c r="M194" s="68">
        <v>650</v>
      </c>
    </row>
    <row r="195" spans="1:13" s="152" customFormat="1" ht="23.25" thickBot="1">
      <c r="A195" s="522"/>
      <c r="B195" s="133" t="s">
        <v>1225</v>
      </c>
      <c r="C195" s="133" t="s">
        <v>1208</v>
      </c>
      <c r="D195" s="144">
        <v>43350</v>
      </c>
      <c r="E195" s="135" t="s">
        <v>36</v>
      </c>
      <c r="F195" s="25" t="s">
        <v>1210</v>
      </c>
      <c r="G195" s="539"/>
      <c r="H195" s="540"/>
      <c r="I195" s="541"/>
      <c r="J195" s="131" t="s">
        <v>38</v>
      </c>
      <c r="K195" s="132"/>
      <c r="L195" s="132" t="s">
        <v>28</v>
      </c>
      <c r="M195" s="66">
        <v>50</v>
      </c>
    </row>
    <row r="196" spans="1:13" s="152" customFormat="1" ht="24" customHeight="1" thickTop="1" thickBot="1">
      <c r="A196" s="518">
        <f>A191+245</f>
        <v>245</v>
      </c>
      <c r="B196" s="150" t="s">
        <v>19</v>
      </c>
      <c r="C196" s="150" t="s">
        <v>20</v>
      </c>
      <c r="D196" s="150" t="s">
        <v>21</v>
      </c>
      <c r="E196" s="523" t="s">
        <v>22</v>
      </c>
      <c r="F196" s="523"/>
      <c r="G196" s="523" t="s">
        <v>12</v>
      </c>
      <c r="H196" s="528"/>
      <c r="I196" s="164"/>
      <c r="J196" s="126" t="s">
        <v>39</v>
      </c>
      <c r="K196" s="127"/>
      <c r="L196" s="127"/>
      <c r="M196" s="22"/>
    </row>
    <row r="197" spans="1:13" s="152" customFormat="1" ht="45.75" thickBot="1">
      <c r="A197" s="521"/>
      <c r="B197" s="128" t="s">
        <v>1226</v>
      </c>
      <c r="C197" s="128" t="s">
        <v>1206</v>
      </c>
      <c r="D197" s="129">
        <v>43349</v>
      </c>
      <c r="E197" s="128"/>
      <c r="F197" s="128" t="s">
        <v>1207</v>
      </c>
      <c r="G197" s="524" t="s">
        <v>1208</v>
      </c>
      <c r="H197" s="525"/>
      <c r="I197" s="526"/>
      <c r="J197" s="130" t="s">
        <v>27</v>
      </c>
      <c r="K197" s="130"/>
      <c r="L197" s="130" t="s">
        <v>28</v>
      </c>
      <c r="M197" s="65">
        <v>140</v>
      </c>
    </row>
    <row r="198" spans="1:13" s="152" customFormat="1" ht="23.25" thickBot="1">
      <c r="A198" s="521"/>
      <c r="B198" s="153" t="s">
        <v>29</v>
      </c>
      <c r="C198" s="153" t="s">
        <v>30</v>
      </c>
      <c r="D198" s="153" t="s">
        <v>31</v>
      </c>
      <c r="E198" s="527" t="s">
        <v>32</v>
      </c>
      <c r="F198" s="527"/>
      <c r="G198" s="529"/>
      <c r="H198" s="530"/>
      <c r="I198" s="531"/>
      <c r="J198" s="131" t="s">
        <v>33</v>
      </c>
      <c r="K198" s="132"/>
      <c r="L198" s="132" t="s">
        <v>28</v>
      </c>
      <c r="M198" s="68">
        <v>650</v>
      </c>
    </row>
    <row r="199" spans="1:13" s="152" customFormat="1" ht="23.25" thickBot="1">
      <c r="A199" s="522"/>
      <c r="B199" s="133" t="s">
        <v>1225</v>
      </c>
      <c r="C199" s="133" t="s">
        <v>1208</v>
      </c>
      <c r="D199" s="144">
        <v>43350</v>
      </c>
      <c r="E199" s="135" t="s">
        <v>36</v>
      </c>
      <c r="F199" s="25" t="s">
        <v>1210</v>
      </c>
      <c r="G199" s="539"/>
      <c r="H199" s="540"/>
      <c r="I199" s="541"/>
      <c r="J199" s="131" t="s">
        <v>38</v>
      </c>
      <c r="K199" s="132"/>
      <c r="L199" s="132" t="s">
        <v>28</v>
      </c>
      <c r="M199" s="66">
        <v>50</v>
      </c>
    </row>
    <row r="200" spans="1:13" s="152" customFormat="1" ht="24" customHeight="1" thickTop="1" thickBot="1">
      <c r="A200" s="518">
        <f>A195+246</f>
        <v>246</v>
      </c>
      <c r="B200" s="150" t="s">
        <v>19</v>
      </c>
      <c r="C200" s="150" t="s">
        <v>20</v>
      </c>
      <c r="D200" s="150" t="s">
        <v>21</v>
      </c>
      <c r="E200" s="523" t="s">
        <v>22</v>
      </c>
      <c r="F200" s="523"/>
      <c r="G200" s="523" t="s">
        <v>12</v>
      </c>
      <c r="H200" s="528"/>
      <c r="I200" s="164"/>
      <c r="J200" s="126" t="s">
        <v>39</v>
      </c>
      <c r="K200" s="127"/>
      <c r="L200" s="127"/>
      <c r="M200" s="22"/>
    </row>
    <row r="201" spans="1:13" s="152" customFormat="1" ht="45.75" thickBot="1">
      <c r="A201" s="521"/>
      <c r="B201" s="128" t="s">
        <v>1227</v>
      </c>
      <c r="C201" s="128" t="s">
        <v>1206</v>
      </c>
      <c r="D201" s="129">
        <v>43349</v>
      </c>
      <c r="E201" s="128"/>
      <c r="F201" s="128" t="s">
        <v>1207</v>
      </c>
      <c r="G201" s="524" t="s">
        <v>1208</v>
      </c>
      <c r="H201" s="525"/>
      <c r="I201" s="526"/>
      <c r="J201" s="130" t="s">
        <v>27</v>
      </c>
      <c r="K201" s="130"/>
      <c r="L201" s="130" t="s">
        <v>28</v>
      </c>
      <c r="M201" s="65">
        <v>140</v>
      </c>
    </row>
    <row r="202" spans="1:13" s="152" customFormat="1" ht="23.25" thickBot="1">
      <c r="A202" s="521"/>
      <c r="B202" s="153" t="s">
        <v>29</v>
      </c>
      <c r="C202" s="153" t="s">
        <v>30</v>
      </c>
      <c r="D202" s="153" t="s">
        <v>31</v>
      </c>
      <c r="E202" s="527" t="s">
        <v>32</v>
      </c>
      <c r="F202" s="527"/>
      <c r="G202" s="529"/>
      <c r="H202" s="530"/>
      <c r="I202" s="531"/>
      <c r="J202" s="131" t="s">
        <v>33</v>
      </c>
      <c r="K202" s="132"/>
      <c r="L202" s="132" t="s">
        <v>28</v>
      </c>
      <c r="M202" s="68">
        <v>650</v>
      </c>
    </row>
    <row r="203" spans="1:13" s="152" customFormat="1" ht="23.25" thickBot="1">
      <c r="A203" s="522"/>
      <c r="B203" s="206" t="s">
        <v>1215</v>
      </c>
      <c r="C203" s="206" t="s">
        <v>1208</v>
      </c>
      <c r="D203" s="144">
        <v>43350</v>
      </c>
      <c r="E203" s="135" t="s">
        <v>36</v>
      </c>
      <c r="F203" s="209" t="s">
        <v>1210</v>
      </c>
      <c r="G203" s="539"/>
      <c r="H203" s="540"/>
      <c r="I203" s="541"/>
      <c r="J203" s="210" t="s">
        <v>38</v>
      </c>
      <c r="K203" s="274"/>
      <c r="L203" s="274" t="s">
        <v>28</v>
      </c>
      <c r="M203" s="409">
        <v>50</v>
      </c>
    </row>
    <row r="204" spans="1:13" s="152" customFormat="1" ht="24" customHeight="1" thickTop="1" thickBot="1">
      <c r="A204" s="518">
        <f>A199+247</f>
        <v>247</v>
      </c>
      <c r="B204" s="150" t="s">
        <v>19</v>
      </c>
      <c r="C204" s="150" t="s">
        <v>20</v>
      </c>
      <c r="D204" s="150" t="s">
        <v>21</v>
      </c>
      <c r="E204" s="523" t="s">
        <v>22</v>
      </c>
      <c r="F204" s="523"/>
      <c r="G204" s="523" t="s">
        <v>12</v>
      </c>
      <c r="H204" s="528"/>
      <c r="I204" s="164"/>
      <c r="J204" s="126" t="s">
        <v>39</v>
      </c>
      <c r="K204" s="127"/>
      <c r="L204" s="127"/>
      <c r="M204" s="22"/>
    </row>
    <row r="205" spans="1:13" s="152" customFormat="1" ht="45.75" thickBot="1">
      <c r="A205" s="521"/>
      <c r="B205" s="128" t="s">
        <v>1228</v>
      </c>
      <c r="C205" s="128" t="s">
        <v>1206</v>
      </c>
      <c r="D205" s="129">
        <v>43349</v>
      </c>
      <c r="E205" s="128"/>
      <c r="F205" s="128" t="s">
        <v>1207</v>
      </c>
      <c r="G205" s="524" t="s">
        <v>1208</v>
      </c>
      <c r="H205" s="525"/>
      <c r="I205" s="526"/>
      <c r="J205" s="130" t="s">
        <v>27</v>
      </c>
      <c r="K205" s="130"/>
      <c r="L205" s="130" t="s">
        <v>28</v>
      </c>
      <c r="M205" s="65">
        <v>140</v>
      </c>
    </row>
    <row r="206" spans="1:13" s="152" customFormat="1" ht="23.25" thickBot="1">
      <c r="A206" s="521"/>
      <c r="B206" s="153" t="s">
        <v>29</v>
      </c>
      <c r="C206" s="153" t="s">
        <v>30</v>
      </c>
      <c r="D206" s="153" t="s">
        <v>31</v>
      </c>
      <c r="E206" s="527" t="s">
        <v>32</v>
      </c>
      <c r="F206" s="527"/>
      <c r="G206" s="529"/>
      <c r="H206" s="530"/>
      <c r="I206" s="531"/>
      <c r="J206" s="131" t="s">
        <v>33</v>
      </c>
      <c r="K206" s="132"/>
      <c r="L206" s="132" t="s">
        <v>28</v>
      </c>
      <c r="M206" s="68">
        <v>650</v>
      </c>
    </row>
    <row r="207" spans="1:13" s="152" customFormat="1" ht="23.25" thickBot="1">
      <c r="A207" s="522"/>
      <c r="B207" s="206" t="s">
        <v>1225</v>
      </c>
      <c r="C207" s="206" t="s">
        <v>1208</v>
      </c>
      <c r="D207" s="144">
        <v>43350</v>
      </c>
      <c r="E207" s="135" t="s">
        <v>36</v>
      </c>
      <c r="F207" s="209" t="s">
        <v>1210</v>
      </c>
      <c r="G207" s="539"/>
      <c r="H207" s="540"/>
      <c r="I207" s="541"/>
      <c r="J207" s="210" t="s">
        <v>38</v>
      </c>
      <c r="K207" s="274"/>
      <c r="L207" s="274" t="s">
        <v>28</v>
      </c>
      <c r="M207" s="409">
        <v>50</v>
      </c>
    </row>
    <row r="208" spans="1:13" s="152" customFormat="1" ht="24" customHeight="1" thickTop="1" thickBot="1">
      <c r="A208" s="518">
        <f>A207+248</f>
        <v>248</v>
      </c>
      <c r="B208" s="150" t="s">
        <v>19</v>
      </c>
      <c r="C208" s="150" t="s">
        <v>20</v>
      </c>
      <c r="D208" s="150" t="s">
        <v>21</v>
      </c>
      <c r="E208" s="523" t="s">
        <v>22</v>
      </c>
      <c r="F208" s="523"/>
      <c r="G208" s="523" t="s">
        <v>12</v>
      </c>
      <c r="H208" s="528"/>
      <c r="I208" s="164"/>
      <c r="J208" s="126" t="s">
        <v>39</v>
      </c>
      <c r="K208" s="127"/>
      <c r="L208" s="127"/>
      <c r="M208" s="22"/>
    </row>
    <row r="209" spans="1:13" s="152" customFormat="1" ht="45.75" thickBot="1">
      <c r="A209" s="521"/>
      <c r="B209" s="128" t="s">
        <v>1229</v>
      </c>
      <c r="C209" s="128" t="s">
        <v>1206</v>
      </c>
      <c r="D209" s="129">
        <v>43349</v>
      </c>
      <c r="E209" s="128"/>
      <c r="F209" s="128" t="s">
        <v>1207</v>
      </c>
      <c r="G209" s="524" t="s">
        <v>1208</v>
      </c>
      <c r="H209" s="525"/>
      <c r="I209" s="526"/>
      <c r="J209" s="130" t="s">
        <v>27</v>
      </c>
      <c r="K209" s="130"/>
      <c r="L209" s="130" t="s">
        <v>28</v>
      </c>
      <c r="M209" s="65">
        <v>140</v>
      </c>
    </row>
    <row r="210" spans="1:13" s="152" customFormat="1" ht="23.25" thickBot="1">
      <c r="A210" s="521"/>
      <c r="B210" s="153" t="s">
        <v>29</v>
      </c>
      <c r="C210" s="153" t="s">
        <v>30</v>
      </c>
      <c r="D210" s="153" t="s">
        <v>31</v>
      </c>
      <c r="E210" s="527" t="s">
        <v>32</v>
      </c>
      <c r="F210" s="527"/>
      <c r="G210" s="529"/>
      <c r="H210" s="530"/>
      <c r="I210" s="531"/>
      <c r="J210" s="131" t="s">
        <v>33</v>
      </c>
      <c r="K210" s="132"/>
      <c r="L210" s="132" t="s">
        <v>28</v>
      </c>
      <c r="M210" s="68">
        <v>650</v>
      </c>
    </row>
    <row r="211" spans="1:13" s="152" customFormat="1" ht="23.25" thickBot="1">
      <c r="A211" s="522"/>
      <c r="B211" s="206" t="s">
        <v>1209</v>
      </c>
      <c r="C211" s="206" t="s">
        <v>1208</v>
      </c>
      <c r="D211" s="144">
        <v>43350</v>
      </c>
      <c r="E211" s="135" t="s">
        <v>36</v>
      </c>
      <c r="F211" s="209" t="s">
        <v>1210</v>
      </c>
      <c r="G211" s="539"/>
      <c r="H211" s="540"/>
      <c r="I211" s="541"/>
      <c r="J211" s="210" t="s">
        <v>38</v>
      </c>
      <c r="K211" s="274"/>
      <c r="L211" s="274" t="s">
        <v>28</v>
      </c>
      <c r="M211" s="409">
        <v>50</v>
      </c>
    </row>
    <row r="212" spans="1:13" s="152" customFormat="1" ht="24" customHeight="1" thickTop="1" thickBot="1">
      <c r="A212" s="518">
        <f>A211+249</f>
        <v>249</v>
      </c>
      <c r="B212" s="150" t="s">
        <v>19</v>
      </c>
      <c r="C212" s="150" t="s">
        <v>20</v>
      </c>
      <c r="D212" s="150" t="s">
        <v>21</v>
      </c>
      <c r="E212" s="523" t="s">
        <v>22</v>
      </c>
      <c r="F212" s="523"/>
      <c r="G212" s="523" t="s">
        <v>12</v>
      </c>
      <c r="H212" s="528"/>
      <c r="I212" s="164"/>
      <c r="J212" s="126" t="s">
        <v>39</v>
      </c>
      <c r="K212" s="127"/>
      <c r="L212" s="127"/>
      <c r="M212" s="22"/>
    </row>
    <row r="213" spans="1:13" s="152" customFormat="1" ht="45.75" thickBot="1">
      <c r="A213" s="521"/>
      <c r="B213" s="128" t="s">
        <v>1230</v>
      </c>
      <c r="C213" s="128" t="s">
        <v>1206</v>
      </c>
      <c r="D213" s="129">
        <v>43349</v>
      </c>
      <c r="E213" s="128"/>
      <c r="F213" s="128" t="s">
        <v>1207</v>
      </c>
      <c r="G213" s="524" t="s">
        <v>1208</v>
      </c>
      <c r="H213" s="525"/>
      <c r="I213" s="526"/>
      <c r="J213" s="130" t="s">
        <v>27</v>
      </c>
      <c r="K213" s="130"/>
      <c r="L213" s="130" t="s">
        <v>28</v>
      </c>
      <c r="M213" s="65">
        <v>140</v>
      </c>
    </row>
    <row r="214" spans="1:13" s="152" customFormat="1" ht="23.25" thickBot="1">
      <c r="A214" s="521"/>
      <c r="B214" s="153" t="s">
        <v>29</v>
      </c>
      <c r="C214" s="153" t="s">
        <v>30</v>
      </c>
      <c r="D214" s="153" t="s">
        <v>31</v>
      </c>
      <c r="E214" s="527" t="s">
        <v>32</v>
      </c>
      <c r="F214" s="527"/>
      <c r="G214" s="529"/>
      <c r="H214" s="530"/>
      <c r="I214" s="531"/>
      <c r="J214" s="131" t="s">
        <v>33</v>
      </c>
      <c r="K214" s="132"/>
      <c r="L214" s="132" t="s">
        <v>28</v>
      </c>
      <c r="M214" s="68">
        <v>650</v>
      </c>
    </row>
    <row r="215" spans="1:13" s="152" customFormat="1" ht="23.25" thickBot="1">
      <c r="A215" s="522"/>
      <c r="B215" s="206" t="s">
        <v>1225</v>
      </c>
      <c r="C215" s="206" t="s">
        <v>1208</v>
      </c>
      <c r="D215" s="144">
        <v>43350</v>
      </c>
      <c r="E215" s="135" t="s">
        <v>36</v>
      </c>
      <c r="F215" s="209" t="s">
        <v>1210</v>
      </c>
      <c r="G215" s="539"/>
      <c r="H215" s="540"/>
      <c r="I215" s="541"/>
      <c r="J215" s="210" t="s">
        <v>38</v>
      </c>
      <c r="K215" s="274"/>
      <c r="L215" s="274" t="s">
        <v>28</v>
      </c>
      <c r="M215" s="409">
        <v>50</v>
      </c>
    </row>
    <row r="216" spans="1:13" s="152" customFormat="1" ht="24" customHeight="1" thickTop="1" thickBot="1">
      <c r="A216" s="518">
        <f>A215+250</f>
        <v>250</v>
      </c>
      <c r="B216" s="150" t="s">
        <v>19</v>
      </c>
      <c r="C216" s="150" t="s">
        <v>20</v>
      </c>
      <c r="D216" s="150" t="s">
        <v>21</v>
      </c>
      <c r="E216" s="523" t="s">
        <v>22</v>
      </c>
      <c r="F216" s="523"/>
      <c r="G216" s="523" t="s">
        <v>12</v>
      </c>
      <c r="H216" s="528"/>
      <c r="I216" s="164"/>
      <c r="J216" s="126" t="s">
        <v>39</v>
      </c>
      <c r="K216" s="127"/>
      <c r="L216" s="127"/>
      <c r="M216" s="22"/>
    </row>
    <row r="217" spans="1:13" s="152" customFormat="1" ht="45.75" thickBot="1">
      <c r="A217" s="521"/>
      <c r="B217" s="128" t="s">
        <v>1231</v>
      </c>
      <c r="C217" s="128" t="s">
        <v>1206</v>
      </c>
      <c r="D217" s="129">
        <v>43349</v>
      </c>
      <c r="E217" s="128"/>
      <c r="F217" s="128" t="s">
        <v>1207</v>
      </c>
      <c r="G217" s="524" t="s">
        <v>1208</v>
      </c>
      <c r="H217" s="525"/>
      <c r="I217" s="526"/>
      <c r="J217" s="130" t="s">
        <v>27</v>
      </c>
      <c r="K217" s="130"/>
      <c r="L217" s="130" t="s">
        <v>28</v>
      </c>
      <c r="M217" s="65">
        <v>140</v>
      </c>
    </row>
    <row r="218" spans="1:13" s="152" customFormat="1" ht="23.25" thickBot="1">
      <c r="A218" s="521"/>
      <c r="B218" s="153" t="s">
        <v>29</v>
      </c>
      <c r="C218" s="153" t="s">
        <v>30</v>
      </c>
      <c r="D218" s="153" t="s">
        <v>31</v>
      </c>
      <c r="E218" s="527" t="s">
        <v>32</v>
      </c>
      <c r="F218" s="527"/>
      <c r="G218" s="529"/>
      <c r="H218" s="530"/>
      <c r="I218" s="531"/>
      <c r="J218" s="131" t="s">
        <v>33</v>
      </c>
      <c r="K218" s="132"/>
      <c r="L218" s="132" t="s">
        <v>28</v>
      </c>
      <c r="M218" s="68">
        <v>650</v>
      </c>
    </row>
    <row r="219" spans="1:13" s="152" customFormat="1" ht="23.25" thickBot="1">
      <c r="A219" s="522"/>
      <c r="B219" s="206" t="s">
        <v>1225</v>
      </c>
      <c r="C219" s="206" t="s">
        <v>1208</v>
      </c>
      <c r="D219" s="144">
        <v>43350</v>
      </c>
      <c r="E219" s="135" t="s">
        <v>36</v>
      </c>
      <c r="F219" s="209" t="s">
        <v>1210</v>
      </c>
      <c r="G219" s="539"/>
      <c r="H219" s="540"/>
      <c r="I219" s="541"/>
      <c r="J219" s="210" t="s">
        <v>38</v>
      </c>
      <c r="K219" s="274"/>
      <c r="L219" s="274" t="s">
        <v>28</v>
      </c>
      <c r="M219" s="409">
        <v>50</v>
      </c>
    </row>
    <row r="220" spans="1:13" s="152" customFormat="1" ht="24" customHeight="1" thickTop="1" thickBot="1">
      <c r="A220" s="518">
        <f>A219+251</f>
        <v>251</v>
      </c>
      <c r="B220" s="150" t="s">
        <v>19</v>
      </c>
      <c r="C220" s="150" t="s">
        <v>20</v>
      </c>
      <c r="D220" s="150" t="s">
        <v>21</v>
      </c>
      <c r="E220" s="523" t="s">
        <v>22</v>
      </c>
      <c r="F220" s="523"/>
      <c r="G220" s="523" t="s">
        <v>12</v>
      </c>
      <c r="H220" s="528"/>
      <c r="I220" s="164"/>
      <c r="J220" s="126" t="s">
        <v>39</v>
      </c>
      <c r="K220" s="127"/>
      <c r="L220" s="127"/>
      <c r="M220" s="22"/>
    </row>
    <row r="221" spans="1:13" s="152" customFormat="1" ht="45.75" thickBot="1">
      <c r="A221" s="521"/>
      <c r="B221" s="128" t="s">
        <v>1232</v>
      </c>
      <c r="C221" s="128" t="s">
        <v>1206</v>
      </c>
      <c r="D221" s="129">
        <v>43349</v>
      </c>
      <c r="E221" s="128"/>
      <c r="F221" s="128" t="s">
        <v>1207</v>
      </c>
      <c r="G221" s="524" t="s">
        <v>1208</v>
      </c>
      <c r="H221" s="525"/>
      <c r="I221" s="526"/>
      <c r="J221" s="130" t="s">
        <v>27</v>
      </c>
      <c r="K221" s="130"/>
      <c r="L221" s="130" t="s">
        <v>28</v>
      </c>
      <c r="M221" s="65">
        <v>140</v>
      </c>
    </row>
    <row r="222" spans="1:13" s="152" customFormat="1" ht="23.25" thickBot="1">
      <c r="A222" s="521"/>
      <c r="B222" s="153" t="s">
        <v>29</v>
      </c>
      <c r="C222" s="153" t="s">
        <v>30</v>
      </c>
      <c r="D222" s="153" t="s">
        <v>31</v>
      </c>
      <c r="E222" s="527" t="s">
        <v>32</v>
      </c>
      <c r="F222" s="527"/>
      <c r="G222" s="529"/>
      <c r="H222" s="530"/>
      <c r="I222" s="531"/>
      <c r="J222" s="131" t="s">
        <v>33</v>
      </c>
      <c r="K222" s="132"/>
      <c r="L222" s="132" t="s">
        <v>28</v>
      </c>
      <c r="M222" s="68">
        <v>650</v>
      </c>
    </row>
    <row r="223" spans="1:13" s="152" customFormat="1" ht="23.25" thickBot="1">
      <c r="A223" s="522"/>
      <c r="B223" s="206" t="s">
        <v>1209</v>
      </c>
      <c r="C223" s="206" t="s">
        <v>1208</v>
      </c>
      <c r="D223" s="144">
        <v>43350</v>
      </c>
      <c r="E223" s="135" t="s">
        <v>36</v>
      </c>
      <c r="F223" s="209" t="s">
        <v>1210</v>
      </c>
      <c r="G223" s="539"/>
      <c r="H223" s="540"/>
      <c r="I223" s="541"/>
      <c r="J223" s="210" t="s">
        <v>38</v>
      </c>
      <c r="K223" s="274"/>
      <c r="L223" s="274" t="s">
        <v>28</v>
      </c>
      <c r="M223" s="409">
        <v>50</v>
      </c>
    </row>
    <row r="224" spans="1:13" s="152" customFormat="1" ht="24" customHeight="1" thickTop="1" thickBot="1">
      <c r="A224" s="518">
        <f>A223+252</f>
        <v>252</v>
      </c>
      <c r="B224" s="150" t="s">
        <v>19</v>
      </c>
      <c r="C224" s="150" t="s">
        <v>20</v>
      </c>
      <c r="D224" s="150" t="s">
        <v>21</v>
      </c>
      <c r="E224" s="523" t="s">
        <v>22</v>
      </c>
      <c r="F224" s="523"/>
      <c r="G224" s="523" t="s">
        <v>12</v>
      </c>
      <c r="H224" s="528"/>
      <c r="I224" s="164"/>
      <c r="J224" s="126" t="s">
        <v>39</v>
      </c>
      <c r="K224" s="127"/>
      <c r="L224" s="127"/>
      <c r="M224" s="22"/>
    </row>
    <row r="225" spans="1:13" s="152" customFormat="1" ht="45.75" thickBot="1">
      <c r="A225" s="521"/>
      <c r="B225" s="128" t="s">
        <v>1233</v>
      </c>
      <c r="C225" s="128" t="s">
        <v>1206</v>
      </c>
      <c r="D225" s="129">
        <v>43349</v>
      </c>
      <c r="E225" s="128"/>
      <c r="F225" s="128" t="s">
        <v>1207</v>
      </c>
      <c r="G225" s="524" t="s">
        <v>1208</v>
      </c>
      <c r="H225" s="525"/>
      <c r="I225" s="526"/>
      <c r="J225" s="130" t="s">
        <v>27</v>
      </c>
      <c r="K225" s="130"/>
      <c r="L225" s="130" t="s">
        <v>28</v>
      </c>
      <c r="M225" s="65">
        <v>140</v>
      </c>
    </row>
    <row r="226" spans="1:13" s="152" customFormat="1" ht="23.25" thickBot="1">
      <c r="A226" s="521"/>
      <c r="B226" s="153" t="s">
        <v>29</v>
      </c>
      <c r="C226" s="153" t="s">
        <v>30</v>
      </c>
      <c r="D226" s="153" t="s">
        <v>31</v>
      </c>
      <c r="E226" s="527" t="s">
        <v>32</v>
      </c>
      <c r="F226" s="527"/>
      <c r="G226" s="529"/>
      <c r="H226" s="530"/>
      <c r="I226" s="531"/>
      <c r="J226" s="131" t="s">
        <v>33</v>
      </c>
      <c r="K226" s="132"/>
      <c r="L226" s="132" t="s">
        <v>28</v>
      </c>
      <c r="M226" s="68">
        <v>650</v>
      </c>
    </row>
    <row r="227" spans="1:13" s="152" customFormat="1" ht="23.25" thickBot="1">
      <c r="A227" s="522"/>
      <c r="B227" s="206" t="s">
        <v>1209</v>
      </c>
      <c r="C227" s="206" t="s">
        <v>1208</v>
      </c>
      <c r="D227" s="144">
        <v>43350</v>
      </c>
      <c r="E227" s="135" t="s">
        <v>36</v>
      </c>
      <c r="F227" s="209" t="s">
        <v>1210</v>
      </c>
      <c r="G227" s="539"/>
      <c r="H227" s="540"/>
      <c r="I227" s="541"/>
      <c r="J227" s="210" t="s">
        <v>38</v>
      </c>
      <c r="K227" s="274"/>
      <c r="L227" s="274" t="s">
        <v>28</v>
      </c>
      <c r="M227" s="409">
        <v>50</v>
      </c>
    </row>
    <row r="228" spans="1:13" s="152" customFormat="1" ht="24" customHeight="1" thickTop="1" thickBot="1">
      <c r="A228" s="518">
        <f>A227+253</f>
        <v>253</v>
      </c>
      <c r="B228" s="150" t="s">
        <v>19</v>
      </c>
      <c r="C228" s="150" t="s">
        <v>20</v>
      </c>
      <c r="D228" s="150" t="s">
        <v>21</v>
      </c>
      <c r="E228" s="523" t="s">
        <v>22</v>
      </c>
      <c r="F228" s="523"/>
      <c r="G228" s="565" t="s">
        <v>12</v>
      </c>
      <c r="H228" s="566"/>
      <c r="I228" s="567"/>
      <c r="J228" s="126" t="s">
        <v>39</v>
      </c>
      <c r="K228" s="127"/>
      <c r="L228" s="127"/>
      <c r="M228" s="22"/>
    </row>
    <row r="229" spans="1:13" s="152" customFormat="1" ht="34.5" thickBot="1">
      <c r="A229" s="521"/>
      <c r="B229" s="128" t="s">
        <v>1234</v>
      </c>
      <c r="C229" s="69" t="s">
        <v>1235</v>
      </c>
      <c r="D229" s="129">
        <v>43217</v>
      </c>
      <c r="E229" s="128"/>
      <c r="F229" s="69" t="s">
        <v>1236</v>
      </c>
      <c r="G229" s="524" t="s">
        <v>1237</v>
      </c>
      <c r="H229" s="525"/>
      <c r="I229" s="526"/>
      <c r="J229" s="168" t="s">
        <v>27</v>
      </c>
      <c r="K229" s="410"/>
      <c r="L229" s="411" t="s">
        <v>28</v>
      </c>
      <c r="M229" s="412" t="s">
        <v>1238</v>
      </c>
    </row>
    <row r="230" spans="1:13" s="152" customFormat="1" ht="23.25" thickBot="1">
      <c r="A230" s="521"/>
      <c r="B230" s="153" t="s">
        <v>29</v>
      </c>
      <c r="C230" s="153" t="s">
        <v>30</v>
      </c>
      <c r="D230" s="153" t="s">
        <v>31</v>
      </c>
      <c r="E230" s="527" t="s">
        <v>32</v>
      </c>
      <c r="F230" s="527"/>
      <c r="G230" s="529"/>
      <c r="H230" s="530"/>
      <c r="I230" s="531"/>
      <c r="J230" s="413" t="s">
        <v>33</v>
      </c>
      <c r="K230" s="411" t="s">
        <v>28</v>
      </c>
      <c r="L230" s="414"/>
      <c r="M230" s="79" t="s">
        <v>1239</v>
      </c>
    </row>
    <row r="231" spans="1:13" s="152" customFormat="1" ht="23.25" thickBot="1">
      <c r="A231" s="522"/>
      <c r="B231" s="133" t="s">
        <v>1240</v>
      </c>
      <c r="C231" s="75" t="s">
        <v>1241</v>
      </c>
      <c r="D231" s="76">
        <v>40663</v>
      </c>
      <c r="E231" s="135" t="s">
        <v>36</v>
      </c>
      <c r="F231" s="77" t="s">
        <v>1242</v>
      </c>
      <c r="G231" s="582"/>
      <c r="H231" s="583"/>
      <c r="I231" s="584"/>
      <c r="J231" s="415" t="s">
        <v>38</v>
      </c>
      <c r="K231" s="416"/>
      <c r="L231" s="416" t="s">
        <v>28</v>
      </c>
      <c r="M231" s="79" t="s">
        <v>1243</v>
      </c>
    </row>
    <row r="232" spans="1:13" s="152" customFormat="1" ht="24" customHeight="1" thickTop="1" thickBot="1">
      <c r="A232" s="518">
        <f>A227+254</f>
        <v>254</v>
      </c>
      <c r="B232" s="150" t="s">
        <v>19</v>
      </c>
      <c r="C232" s="150" t="s">
        <v>20</v>
      </c>
      <c r="D232" s="150" t="s">
        <v>21</v>
      </c>
      <c r="E232" s="523" t="s">
        <v>22</v>
      </c>
      <c r="F232" s="523"/>
      <c r="G232" s="523" t="s">
        <v>12</v>
      </c>
      <c r="H232" s="528"/>
      <c r="I232" s="164"/>
      <c r="J232" s="126" t="s">
        <v>39</v>
      </c>
      <c r="K232" s="127"/>
      <c r="L232" s="127"/>
      <c r="M232" s="22"/>
    </row>
    <row r="233" spans="1:13" s="152" customFormat="1" ht="34.5" thickBot="1">
      <c r="A233" s="521"/>
      <c r="B233" s="128" t="s">
        <v>1244</v>
      </c>
      <c r="C233" s="69" t="s">
        <v>1235</v>
      </c>
      <c r="D233" s="129">
        <v>43217</v>
      </c>
      <c r="E233" s="128"/>
      <c r="F233" s="69" t="s">
        <v>1236</v>
      </c>
      <c r="G233" s="524" t="s">
        <v>1237</v>
      </c>
      <c r="H233" s="525"/>
      <c r="I233" s="526"/>
      <c r="J233" s="168" t="s">
        <v>27</v>
      </c>
      <c r="K233" s="410"/>
      <c r="L233" s="411" t="s">
        <v>28</v>
      </c>
      <c r="M233" s="412" t="s">
        <v>1238</v>
      </c>
    </row>
    <row r="234" spans="1:13" s="152" customFormat="1" ht="23.25" thickBot="1">
      <c r="A234" s="521"/>
      <c r="B234" s="153" t="s">
        <v>29</v>
      </c>
      <c r="C234" s="153" t="s">
        <v>30</v>
      </c>
      <c r="D234" s="153" t="s">
        <v>31</v>
      </c>
      <c r="E234" s="527" t="s">
        <v>32</v>
      </c>
      <c r="F234" s="527"/>
      <c r="G234" s="529"/>
      <c r="H234" s="530"/>
      <c r="I234" s="531"/>
      <c r="J234" s="413" t="s">
        <v>33</v>
      </c>
      <c r="K234" s="411" t="s">
        <v>28</v>
      </c>
      <c r="L234" s="414"/>
      <c r="M234" s="79" t="s">
        <v>1239</v>
      </c>
    </row>
    <row r="235" spans="1:13" s="152" customFormat="1" ht="23.25" thickBot="1">
      <c r="A235" s="522"/>
      <c r="B235" s="133" t="s">
        <v>1240</v>
      </c>
      <c r="C235" s="75" t="s">
        <v>1241</v>
      </c>
      <c r="D235" s="76">
        <v>40663</v>
      </c>
      <c r="E235" s="135" t="s">
        <v>36</v>
      </c>
      <c r="F235" s="77" t="s">
        <v>1242</v>
      </c>
      <c r="G235" s="539"/>
      <c r="H235" s="540"/>
      <c r="I235" s="541"/>
      <c r="J235" s="415" t="s">
        <v>38</v>
      </c>
      <c r="K235" s="416"/>
      <c r="L235" s="416" t="s">
        <v>28</v>
      </c>
      <c r="M235" s="79" t="s">
        <v>1243</v>
      </c>
    </row>
    <row r="236" spans="1:13" s="152" customFormat="1" ht="24" customHeight="1" thickTop="1" thickBot="1">
      <c r="A236" s="518">
        <f>A231+255</f>
        <v>255</v>
      </c>
      <c r="B236" s="150" t="s">
        <v>19</v>
      </c>
      <c r="C236" s="150" t="s">
        <v>20</v>
      </c>
      <c r="D236" s="150" t="s">
        <v>21</v>
      </c>
      <c r="E236" s="523" t="s">
        <v>22</v>
      </c>
      <c r="F236" s="523"/>
      <c r="G236" s="523" t="s">
        <v>12</v>
      </c>
      <c r="H236" s="528"/>
      <c r="I236" s="164"/>
      <c r="J236" s="126" t="s">
        <v>39</v>
      </c>
      <c r="K236" s="127"/>
      <c r="L236" s="127"/>
      <c r="M236" s="22"/>
    </row>
    <row r="237" spans="1:13" s="152" customFormat="1" ht="34.5" thickBot="1">
      <c r="A237" s="521"/>
      <c r="B237" s="128" t="s">
        <v>1245</v>
      </c>
      <c r="C237" s="69" t="s">
        <v>1235</v>
      </c>
      <c r="D237" s="129">
        <v>43217</v>
      </c>
      <c r="E237" s="128"/>
      <c r="F237" s="69" t="s">
        <v>1236</v>
      </c>
      <c r="G237" s="524" t="s">
        <v>1237</v>
      </c>
      <c r="H237" s="525"/>
      <c r="I237" s="526"/>
      <c r="J237" s="168" t="s">
        <v>27</v>
      </c>
      <c r="K237" s="410"/>
      <c r="L237" s="411" t="s">
        <v>28</v>
      </c>
      <c r="M237" s="412" t="s">
        <v>1238</v>
      </c>
    </row>
    <row r="238" spans="1:13" s="152" customFormat="1" ht="23.25" thickBot="1">
      <c r="A238" s="521"/>
      <c r="B238" s="153" t="s">
        <v>29</v>
      </c>
      <c r="C238" s="153" t="s">
        <v>30</v>
      </c>
      <c r="D238" s="153" t="s">
        <v>31</v>
      </c>
      <c r="E238" s="527" t="s">
        <v>32</v>
      </c>
      <c r="F238" s="527"/>
      <c r="G238" s="529"/>
      <c r="H238" s="530"/>
      <c r="I238" s="531"/>
      <c r="J238" s="413" t="s">
        <v>33</v>
      </c>
      <c r="K238" s="411" t="s">
        <v>28</v>
      </c>
      <c r="L238" s="414"/>
      <c r="M238" s="79" t="s">
        <v>1239</v>
      </c>
    </row>
    <row r="239" spans="1:13" s="152" customFormat="1" ht="23.25" thickBot="1">
      <c r="A239" s="522"/>
      <c r="B239" s="133" t="s">
        <v>1240</v>
      </c>
      <c r="C239" s="75" t="s">
        <v>1241</v>
      </c>
      <c r="D239" s="76">
        <v>40663</v>
      </c>
      <c r="E239" s="135" t="s">
        <v>36</v>
      </c>
      <c r="F239" s="77" t="s">
        <v>1242</v>
      </c>
      <c r="G239" s="539"/>
      <c r="H239" s="540"/>
      <c r="I239" s="541"/>
      <c r="J239" s="415" t="s">
        <v>38</v>
      </c>
      <c r="K239" s="416"/>
      <c r="L239" s="416" t="s">
        <v>28</v>
      </c>
      <c r="M239" s="79" t="s">
        <v>1243</v>
      </c>
    </row>
    <row r="240" spans="1:13" s="152" customFormat="1" ht="24" customHeight="1" thickTop="1" thickBot="1">
      <c r="A240" s="518">
        <f>A235+256</f>
        <v>256</v>
      </c>
      <c r="B240" s="150" t="s">
        <v>19</v>
      </c>
      <c r="C240" s="150" t="s">
        <v>20</v>
      </c>
      <c r="D240" s="150" t="s">
        <v>21</v>
      </c>
      <c r="E240" s="523" t="s">
        <v>22</v>
      </c>
      <c r="F240" s="523"/>
      <c r="G240" s="523" t="s">
        <v>12</v>
      </c>
      <c r="H240" s="528"/>
      <c r="I240" s="164"/>
      <c r="J240" s="126" t="s">
        <v>39</v>
      </c>
      <c r="K240" s="127"/>
      <c r="L240" s="127"/>
      <c r="M240" s="22"/>
    </row>
    <row r="241" spans="1:13" s="152" customFormat="1" ht="34.5" thickBot="1">
      <c r="A241" s="521"/>
      <c r="B241" s="128" t="s">
        <v>1246</v>
      </c>
      <c r="C241" s="128" t="s">
        <v>1235</v>
      </c>
      <c r="D241" s="129">
        <v>43217</v>
      </c>
      <c r="E241" s="128"/>
      <c r="F241" s="69" t="s">
        <v>1236</v>
      </c>
      <c r="G241" s="524" t="s">
        <v>1237</v>
      </c>
      <c r="H241" s="525"/>
      <c r="I241" s="526"/>
      <c r="J241" s="168" t="s">
        <v>27</v>
      </c>
      <c r="K241" s="410"/>
      <c r="L241" s="411" t="s">
        <v>28</v>
      </c>
      <c r="M241" s="412" t="s">
        <v>1238</v>
      </c>
    </row>
    <row r="242" spans="1:13" s="152" customFormat="1" ht="23.25" thickBot="1">
      <c r="A242" s="521"/>
      <c r="B242" s="153" t="s">
        <v>29</v>
      </c>
      <c r="C242" s="153" t="s">
        <v>30</v>
      </c>
      <c r="D242" s="153" t="s">
        <v>31</v>
      </c>
      <c r="E242" s="527" t="s">
        <v>32</v>
      </c>
      <c r="F242" s="527"/>
      <c r="G242" s="529"/>
      <c r="H242" s="530"/>
      <c r="I242" s="531"/>
      <c r="J242" s="413" t="s">
        <v>33</v>
      </c>
      <c r="K242" s="411" t="s">
        <v>28</v>
      </c>
      <c r="L242" s="414"/>
      <c r="M242" s="79" t="s">
        <v>1239</v>
      </c>
    </row>
    <row r="243" spans="1:13" s="152" customFormat="1" ht="23.25" thickBot="1">
      <c r="A243" s="522"/>
      <c r="B243" s="133" t="s">
        <v>1247</v>
      </c>
      <c r="C243" s="75" t="s">
        <v>1241</v>
      </c>
      <c r="D243" s="76">
        <v>40663</v>
      </c>
      <c r="E243" s="135" t="s">
        <v>36</v>
      </c>
      <c r="F243" s="77" t="s">
        <v>1242</v>
      </c>
      <c r="G243" s="539"/>
      <c r="H243" s="540"/>
      <c r="I243" s="541"/>
      <c r="J243" s="415" t="s">
        <v>38</v>
      </c>
      <c r="K243" s="416"/>
      <c r="L243" s="416" t="s">
        <v>28</v>
      </c>
      <c r="M243" s="79" t="s">
        <v>1243</v>
      </c>
    </row>
    <row r="244" spans="1:13" s="152" customFormat="1" ht="24" customHeight="1" thickTop="1" thickBot="1">
      <c r="A244" s="518">
        <f>A243+257</f>
        <v>257</v>
      </c>
      <c r="B244" s="150" t="s">
        <v>19</v>
      </c>
      <c r="C244" s="150" t="s">
        <v>20</v>
      </c>
      <c r="D244" s="150" t="s">
        <v>21</v>
      </c>
      <c r="E244" s="523" t="s">
        <v>22</v>
      </c>
      <c r="F244" s="523"/>
      <c r="G244" s="523" t="s">
        <v>12</v>
      </c>
      <c r="H244" s="528"/>
      <c r="I244" s="164"/>
      <c r="J244" s="126" t="s">
        <v>39</v>
      </c>
      <c r="K244" s="127"/>
      <c r="L244" s="127"/>
      <c r="M244" s="22"/>
    </row>
    <row r="245" spans="1:13" s="152" customFormat="1" ht="34.5" thickBot="1">
      <c r="A245" s="521"/>
      <c r="B245" s="128" t="s">
        <v>1248</v>
      </c>
      <c r="C245" s="69" t="s">
        <v>1235</v>
      </c>
      <c r="D245" s="129">
        <v>43217</v>
      </c>
      <c r="E245" s="128"/>
      <c r="F245" s="69" t="s">
        <v>1236</v>
      </c>
      <c r="G245" s="524" t="s">
        <v>1237</v>
      </c>
      <c r="H245" s="525"/>
      <c r="I245" s="526"/>
      <c r="J245" s="168" t="s">
        <v>27</v>
      </c>
      <c r="K245" s="410"/>
      <c r="L245" s="411" t="s">
        <v>28</v>
      </c>
      <c r="M245" s="412" t="s">
        <v>1238</v>
      </c>
    </row>
    <row r="246" spans="1:13" s="152" customFormat="1" ht="23.25" thickBot="1">
      <c r="A246" s="521"/>
      <c r="B246" s="153" t="s">
        <v>29</v>
      </c>
      <c r="C246" s="153" t="s">
        <v>30</v>
      </c>
      <c r="D246" s="153" t="s">
        <v>31</v>
      </c>
      <c r="E246" s="527" t="s">
        <v>32</v>
      </c>
      <c r="F246" s="527"/>
      <c r="G246" s="529"/>
      <c r="H246" s="530"/>
      <c r="I246" s="531"/>
      <c r="J246" s="413" t="s">
        <v>33</v>
      </c>
      <c r="K246" s="411" t="s">
        <v>28</v>
      </c>
      <c r="L246" s="414"/>
      <c r="M246" s="79" t="s">
        <v>1239</v>
      </c>
    </row>
    <row r="247" spans="1:13" s="152" customFormat="1" ht="23.25" thickBot="1">
      <c r="A247" s="522"/>
      <c r="B247" s="133" t="s">
        <v>1103</v>
      </c>
      <c r="C247" s="75" t="s">
        <v>1241</v>
      </c>
      <c r="D247" s="76">
        <v>40663</v>
      </c>
      <c r="E247" s="135" t="s">
        <v>36</v>
      </c>
      <c r="F247" s="77" t="s">
        <v>1242</v>
      </c>
      <c r="G247" s="539"/>
      <c r="H247" s="540"/>
      <c r="I247" s="541"/>
      <c r="J247" s="415" t="s">
        <v>38</v>
      </c>
      <c r="K247" s="416"/>
      <c r="L247" s="416" t="s">
        <v>28</v>
      </c>
      <c r="M247" s="79" t="s">
        <v>1243</v>
      </c>
    </row>
    <row r="248" spans="1:13" s="152" customFormat="1" ht="24" customHeight="1" thickTop="1" thickBot="1">
      <c r="A248" s="518">
        <f>A247+258</f>
        <v>258</v>
      </c>
      <c r="B248" s="150" t="s">
        <v>19</v>
      </c>
      <c r="C248" s="150" t="s">
        <v>20</v>
      </c>
      <c r="D248" s="150" t="s">
        <v>21</v>
      </c>
      <c r="E248" s="523" t="s">
        <v>22</v>
      </c>
      <c r="F248" s="523"/>
      <c r="G248" s="523" t="s">
        <v>12</v>
      </c>
      <c r="H248" s="528"/>
      <c r="I248" s="164"/>
      <c r="J248" s="126" t="s">
        <v>39</v>
      </c>
      <c r="K248" s="127"/>
      <c r="L248" s="127"/>
      <c r="M248" s="22"/>
    </row>
    <row r="249" spans="1:13" s="152" customFormat="1" ht="34.5" thickBot="1">
      <c r="A249" s="521"/>
      <c r="B249" s="128" t="s">
        <v>1249</v>
      </c>
      <c r="C249" s="69" t="s">
        <v>1235</v>
      </c>
      <c r="D249" s="129">
        <v>43217</v>
      </c>
      <c r="E249" s="128"/>
      <c r="F249" s="69" t="s">
        <v>1236</v>
      </c>
      <c r="G249" s="524" t="s">
        <v>1237</v>
      </c>
      <c r="H249" s="525"/>
      <c r="I249" s="526"/>
      <c r="J249" s="168" t="s">
        <v>27</v>
      </c>
      <c r="K249" s="410"/>
      <c r="L249" s="411" t="s">
        <v>28</v>
      </c>
      <c r="M249" s="412" t="s">
        <v>1238</v>
      </c>
    </row>
    <row r="250" spans="1:13" s="152" customFormat="1" ht="23.25" thickBot="1">
      <c r="A250" s="521"/>
      <c r="B250" s="153" t="s">
        <v>29</v>
      </c>
      <c r="C250" s="153" t="s">
        <v>30</v>
      </c>
      <c r="D250" s="153" t="s">
        <v>31</v>
      </c>
      <c r="E250" s="527" t="s">
        <v>32</v>
      </c>
      <c r="F250" s="527"/>
      <c r="G250" s="529"/>
      <c r="H250" s="530"/>
      <c r="I250" s="531"/>
      <c r="J250" s="413" t="s">
        <v>33</v>
      </c>
      <c r="K250" s="411" t="s">
        <v>28</v>
      </c>
      <c r="L250" s="414"/>
      <c r="M250" s="79" t="s">
        <v>1239</v>
      </c>
    </row>
    <row r="251" spans="1:13" s="152" customFormat="1" ht="23.25" thickBot="1">
      <c r="A251" s="522"/>
      <c r="B251" s="133" t="s">
        <v>1250</v>
      </c>
      <c r="C251" s="75" t="s">
        <v>1241</v>
      </c>
      <c r="D251" s="76">
        <v>40663</v>
      </c>
      <c r="E251" s="135" t="s">
        <v>36</v>
      </c>
      <c r="F251" s="77" t="s">
        <v>1242</v>
      </c>
      <c r="G251" s="539"/>
      <c r="H251" s="540"/>
      <c r="I251" s="541"/>
      <c r="J251" s="415" t="s">
        <v>38</v>
      </c>
      <c r="K251" s="416"/>
      <c r="L251" s="416" t="s">
        <v>28</v>
      </c>
      <c r="M251" s="79" t="s">
        <v>1243</v>
      </c>
    </row>
    <row r="252" spans="1:13" s="152" customFormat="1" ht="24" customHeight="1" thickTop="1" thickBot="1">
      <c r="A252" s="518">
        <f>A251+259</f>
        <v>259</v>
      </c>
      <c r="B252" s="150" t="s">
        <v>19</v>
      </c>
      <c r="C252" s="150" t="s">
        <v>20</v>
      </c>
      <c r="D252" s="150" t="s">
        <v>21</v>
      </c>
      <c r="E252" s="523" t="s">
        <v>22</v>
      </c>
      <c r="F252" s="523"/>
      <c r="G252" s="523" t="s">
        <v>12</v>
      </c>
      <c r="H252" s="528"/>
      <c r="I252" s="164"/>
      <c r="J252" s="126" t="s">
        <v>39</v>
      </c>
      <c r="K252" s="127"/>
      <c r="L252" s="127"/>
      <c r="M252" s="22"/>
    </row>
    <row r="253" spans="1:13" s="152" customFormat="1" ht="15.75" thickBot="1">
      <c r="A253" s="521"/>
      <c r="B253" s="69" t="s">
        <v>1251</v>
      </c>
      <c r="C253" s="69" t="s">
        <v>1252</v>
      </c>
      <c r="D253" s="129">
        <v>43274</v>
      </c>
      <c r="E253" s="69"/>
      <c r="F253" s="69" t="s">
        <v>1253</v>
      </c>
      <c r="G253" s="524" t="s">
        <v>1254</v>
      </c>
      <c r="H253" s="525"/>
      <c r="I253" s="526"/>
      <c r="J253" s="130" t="s">
        <v>27</v>
      </c>
      <c r="K253" s="130"/>
      <c r="L253" s="130" t="s">
        <v>28</v>
      </c>
      <c r="M253" s="65">
        <v>276</v>
      </c>
    </row>
    <row r="254" spans="1:13" s="152" customFormat="1" ht="23.25" thickBot="1">
      <c r="A254" s="521"/>
      <c r="B254" s="153" t="s">
        <v>29</v>
      </c>
      <c r="C254" s="153" t="s">
        <v>30</v>
      </c>
      <c r="D254" s="153" t="s">
        <v>31</v>
      </c>
      <c r="E254" s="527" t="s">
        <v>32</v>
      </c>
      <c r="F254" s="527"/>
      <c r="G254" s="529"/>
      <c r="H254" s="530"/>
      <c r="I254" s="531"/>
      <c r="J254" s="131" t="s">
        <v>40</v>
      </c>
      <c r="K254" s="132"/>
      <c r="L254" s="132"/>
      <c r="M254" s="24"/>
    </row>
    <row r="255" spans="1:13" s="152" customFormat="1" ht="23.25" thickBot="1">
      <c r="A255" s="522"/>
      <c r="B255" s="417" t="s">
        <v>181</v>
      </c>
      <c r="C255" s="417" t="s">
        <v>1254</v>
      </c>
      <c r="D255" s="418">
        <v>43278</v>
      </c>
      <c r="E255" s="419" t="s">
        <v>36</v>
      </c>
      <c r="F255" s="420" t="s">
        <v>1255</v>
      </c>
      <c r="G255" s="595"/>
      <c r="H255" s="596"/>
      <c r="I255" s="597"/>
      <c r="J255" s="210" t="s">
        <v>41</v>
      </c>
      <c r="K255" s="274"/>
      <c r="L255" s="274"/>
      <c r="M255" s="228"/>
    </row>
    <row r="256" spans="1:13" s="152" customFormat="1" ht="24" customHeight="1" thickTop="1" thickBot="1">
      <c r="A256" s="518">
        <f>A255+260</f>
        <v>260</v>
      </c>
      <c r="B256" s="150" t="s">
        <v>19</v>
      </c>
      <c r="C256" s="150" t="s">
        <v>20</v>
      </c>
      <c r="D256" s="150" t="s">
        <v>21</v>
      </c>
      <c r="E256" s="523" t="s">
        <v>22</v>
      </c>
      <c r="F256" s="523"/>
      <c r="G256" s="565" t="s">
        <v>12</v>
      </c>
      <c r="H256" s="566"/>
      <c r="I256" s="567"/>
      <c r="J256" s="126" t="s">
        <v>39</v>
      </c>
      <c r="K256" s="127"/>
      <c r="L256" s="127"/>
      <c r="M256" s="22"/>
    </row>
    <row r="257" spans="1:13" s="152" customFormat="1" ht="34.5" thickBot="1">
      <c r="A257" s="521"/>
      <c r="B257" s="128" t="s">
        <v>1256</v>
      </c>
      <c r="C257" s="128" t="s">
        <v>1257</v>
      </c>
      <c r="D257" s="129">
        <v>43354</v>
      </c>
      <c r="E257" s="128"/>
      <c r="F257" s="128" t="s">
        <v>1258</v>
      </c>
      <c r="G257" s="524" t="s">
        <v>1259</v>
      </c>
      <c r="H257" s="525"/>
      <c r="I257" s="526"/>
      <c r="J257" s="130" t="s">
        <v>27</v>
      </c>
      <c r="K257" s="130"/>
      <c r="L257" s="130" t="s">
        <v>28</v>
      </c>
      <c r="M257" s="65">
        <v>160</v>
      </c>
    </row>
    <row r="258" spans="1:13" s="152" customFormat="1" ht="23.25" thickBot="1">
      <c r="A258" s="521"/>
      <c r="B258" s="153" t="s">
        <v>29</v>
      </c>
      <c r="C258" s="153" t="s">
        <v>30</v>
      </c>
      <c r="D258" s="153" t="s">
        <v>31</v>
      </c>
      <c r="E258" s="527" t="s">
        <v>32</v>
      </c>
      <c r="F258" s="527"/>
      <c r="G258" s="529"/>
      <c r="H258" s="530"/>
      <c r="I258" s="531"/>
      <c r="J258" s="131" t="s">
        <v>33</v>
      </c>
      <c r="K258" s="132"/>
      <c r="L258" s="132" t="s">
        <v>28</v>
      </c>
      <c r="M258" s="68">
        <v>984.89</v>
      </c>
    </row>
    <row r="259" spans="1:13" s="152" customFormat="1" ht="23.25" thickBot="1">
      <c r="A259" s="522"/>
      <c r="B259" s="133" t="s">
        <v>1260</v>
      </c>
      <c r="C259" s="133" t="s">
        <v>1261</v>
      </c>
      <c r="D259" s="144">
        <v>43357</v>
      </c>
      <c r="E259" s="135" t="s">
        <v>36</v>
      </c>
      <c r="F259" s="25" t="s">
        <v>1262</v>
      </c>
      <c r="G259" s="582"/>
      <c r="H259" s="583"/>
      <c r="I259" s="584"/>
      <c r="J259" s="131" t="s">
        <v>38</v>
      </c>
      <c r="K259" s="132"/>
      <c r="L259" s="132" t="s">
        <v>28</v>
      </c>
      <c r="M259" s="66">
        <v>200</v>
      </c>
    </row>
    <row r="260" spans="1:13" s="152" customFormat="1" ht="24" customHeight="1" thickTop="1" thickBot="1">
      <c r="A260" s="518">
        <f>A259+261</f>
        <v>261</v>
      </c>
      <c r="B260" s="150" t="s">
        <v>19</v>
      </c>
      <c r="C260" s="150" t="s">
        <v>20</v>
      </c>
      <c r="D260" s="150" t="s">
        <v>21</v>
      </c>
      <c r="E260" s="523" t="s">
        <v>22</v>
      </c>
      <c r="F260" s="523"/>
      <c r="G260" s="523" t="s">
        <v>12</v>
      </c>
      <c r="H260" s="528"/>
      <c r="I260" s="164"/>
      <c r="J260" s="126" t="s">
        <v>39</v>
      </c>
      <c r="K260" s="127"/>
      <c r="L260" s="127"/>
      <c r="M260" s="22"/>
    </row>
    <row r="261" spans="1:13" s="152" customFormat="1" ht="34.5" thickBot="1">
      <c r="A261" s="521"/>
      <c r="B261" s="128" t="s">
        <v>1263</v>
      </c>
      <c r="C261" s="69" t="s">
        <v>1257</v>
      </c>
      <c r="D261" s="129">
        <v>43354</v>
      </c>
      <c r="E261" s="128"/>
      <c r="F261" s="69" t="s">
        <v>1258</v>
      </c>
      <c r="G261" s="524" t="s">
        <v>1259</v>
      </c>
      <c r="H261" s="525"/>
      <c r="I261" s="526"/>
      <c r="J261" s="70" t="s">
        <v>27</v>
      </c>
      <c r="K261" s="70"/>
      <c r="L261" s="70" t="s">
        <v>28</v>
      </c>
      <c r="M261" s="71">
        <v>160</v>
      </c>
    </row>
    <row r="262" spans="1:13" s="152" customFormat="1" ht="23.25" thickBot="1">
      <c r="A262" s="521"/>
      <c r="B262" s="153" t="s">
        <v>29</v>
      </c>
      <c r="C262" s="153" t="s">
        <v>30</v>
      </c>
      <c r="D262" s="153" t="s">
        <v>31</v>
      </c>
      <c r="E262" s="527" t="s">
        <v>32</v>
      </c>
      <c r="F262" s="527"/>
      <c r="G262" s="529"/>
      <c r="H262" s="530"/>
      <c r="I262" s="531"/>
      <c r="J262" s="72" t="s">
        <v>33</v>
      </c>
      <c r="K262" s="73"/>
      <c r="L262" s="73" t="s">
        <v>28</v>
      </c>
      <c r="M262" s="74">
        <v>984.89</v>
      </c>
    </row>
    <row r="263" spans="1:13" s="152" customFormat="1" ht="23.25" thickBot="1">
      <c r="A263" s="522"/>
      <c r="B263" s="75" t="s">
        <v>1260</v>
      </c>
      <c r="C263" s="75" t="s">
        <v>1261</v>
      </c>
      <c r="D263" s="76">
        <v>43357</v>
      </c>
      <c r="E263" s="135" t="s">
        <v>36</v>
      </c>
      <c r="F263" s="77" t="s">
        <v>1262</v>
      </c>
      <c r="G263" s="539"/>
      <c r="H263" s="540"/>
      <c r="I263" s="541"/>
      <c r="J263" s="72" t="s">
        <v>38</v>
      </c>
      <c r="K263" s="73"/>
      <c r="L263" s="73" t="s">
        <v>28</v>
      </c>
      <c r="M263" s="78">
        <v>200</v>
      </c>
    </row>
    <row r="264" spans="1:13" s="152" customFormat="1" ht="24" customHeight="1" thickTop="1" thickBot="1">
      <c r="A264" s="518">
        <f>A263+262</f>
        <v>262</v>
      </c>
      <c r="B264" s="150" t="s">
        <v>19</v>
      </c>
      <c r="C264" s="150" t="s">
        <v>20</v>
      </c>
      <c r="D264" s="150" t="s">
        <v>21</v>
      </c>
      <c r="E264" s="523" t="s">
        <v>22</v>
      </c>
      <c r="F264" s="523"/>
      <c r="G264" s="523" t="s">
        <v>12</v>
      </c>
      <c r="H264" s="528"/>
      <c r="I264" s="164"/>
      <c r="J264" s="126" t="s">
        <v>39</v>
      </c>
      <c r="K264" s="127"/>
      <c r="L264" s="127"/>
      <c r="M264" s="22"/>
    </row>
    <row r="265" spans="1:13" s="152" customFormat="1" ht="34.5" thickBot="1">
      <c r="A265" s="521"/>
      <c r="B265" s="128" t="s">
        <v>1264</v>
      </c>
      <c r="C265" s="69" t="s">
        <v>1257</v>
      </c>
      <c r="D265" s="129">
        <v>43354</v>
      </c>
      <c r="E265" s="128"/>
      <c r="F265" s="69" t="s">
        <v>1258</v>
      </c>
      <c r="G265" s="524" t="s">
        <v>1259</v>
      </c>
      <c r="H265" s="525"/>
      <c r="I265" s="526"/>
      <c r="J265" s="70" t="s">
        <v>27</v>
      </c>
      <c r="K265" s="70"/>
      <c r="L265" s="70" t="s">
        <v>28</v>
      </c>
      <c r="M265" s="71">
        <v>160</v>
      </c>
    </row>
    <row r="266" spans="1:13" s="152" customFormat="1" ht="23.25" thickBot="1">
      <c r="A266" s="521"/>
      <c r="B266" s="153" t="s">
        <v>29</v>
      </c>
      <c r="C266" s="153" t="s">
        <v>30</v>
      </c>
      <c r="D266" s="153" t="s">
        <v>31</v>
      </c>
      <c r="E266" s="527" t="s">
        <v>32</v>
      </c>
      <c r="F266" s="527"/>
      <c r="G266" s="529"/>
      <c r="H266" s="530"/>
      <c r="I266" s="531"/>
      <c r="J266" s="72" t="s">
        <v>33</v>
      </c>
      <c r="K266" s="73"/>
      <c r="L266" s="73" t="s">
        <v>28</v>
      </c>
      <c r="M266" s="74">
        <v>984.89</v>
      </c>
    </row>
    <row r="267" spans="1:13" s="152" customFormat="1" ht="23.25" thickBot="1">
      <c r="A267" s="522"/>
      <c r="B267" s="75" t="s">
        <v>1260</v>
      </c>
      <c r="C267" s="75" t="s">
        <v>1261</v>
      </c>
      <c r="D267" s="76">
        <v>43357</v>
      </c>
      <c r="E267" s="135" t="s">
        <v>36</v>
      </c>
      <c r="F267" s="77" t="s">
        <v>1262</v>
      </c>
      <c r="G267" s="539"/>
      <c r="H267" s="540"/>
      <c r="I267" s="541"/>
      <c r="J267" s="72" t="s">
        <v>38</v>
      </c>
      <c r="K267" s="73"/>
      <c r="L267" s="73" t="s">
        <v>28</v>
      </c>
      <c r="M267" s="78">
        <v>200</v>
      </c>
    </row>
    <row r="268" spans="1:13" s="152" customFormat="1" ht="24" customHeight="1" thickTop="1" thickBot="1">
      <c r="A268" s="518">
        <f>A263+263</f>
        <v>263</v>
      </c>
      <c r="B268" s="150" t="s">
        <v>19</v>
      </c>
      <c r="C268" s="150" t="s">
        <v>20</v>
      </c>
      <c r="D268" s="150" t="s">
        <v>21</v>
      </c>
      <c r="E268" s="523" t="s">
        <v>22</v>
      </c>
      <c r="F268" s="523"/>
      <c r="G268" s="523" t="s">
        <v>12</v>
      </c>
      <c r="H268" s="528"/>
      <c r="I268" s="164"/>
      <c r="J268" s="126" t="s">
        <v>39</v>
      </c>
      <c r="K268" s="127"/>
      <c r="L268" s="127"/>
      <c r="M268" s="22"/>
    </row>
    <row r="269" spans="1:13" s="152" customFormat="1" ht="45.75" thickBot="1">
      <c r="A269" s="521"/>
      <c r="B269" s="128" t="s">
        <v>1256</v>
      </c>
      <c r="C269" s="128" t="s">
        <v>1265</v>
      </c>
      <c r="D269" s="129">
        <v>43368</v>
      </c>
      <c r="E269" s="128"/>
      <c r="F269" s="128" t="s">
        <v>144</v>
      </c>
      <c r="G269" s="524" t="s">
        <v>1266</v>
      </c>
      <c r="H269" s="525"/>
      <c r="I269" s="526"/>
      <c r="J269" s="70" t="s">
        <v>27</v>
      </c>
      <c r="K269" s="70"/>
      <c r="L269" s="70" t="s">
        <v>28</v>
      </c>
      <c r="M269" s="71">
        <v>800</v>
      </c>
    </row>
    <row r="270" spans="1:13" s="152" customFormat="1" ht="23.25" thickBot="1">
      <c r="A270" s="521"/>
      <c r="B270" s="153" t="s">
        <v>29</v>
      </c>
      <c r="C270" s="153" t="s">
        <v>30</v>
      </c>
      <c r="D270" s="153" t="s">
        <v>31</v>
      </c>
      <c r="E270" s="527" t="s">
        <v>32</v>
      </c>
      <c r="F270" s="527"/>
      <c r="G270" s="529"/>
      <c r="H270" s="530"/>
      <c r="I270" s="531"/>
      <c r="J270" s="72" t="s">
        <v>33</v>
      </c>
      <c r="K270" s="73"/>
      <c r="L270" s="73" t="s">
        <v>28</v>
      </c>
      <c r="M270" s="74">
        <v>1250</v>
      </c>
    </row>
    <row r="271" spans="1:13" s="152" customFormat="1" ht="23.25" thickBot="1">
      <c r="A271" s="522"/>
      <c r="B271" s="130" t="s">
        <v>1267</v>
      </c>
      <c r="C271" s="130" t="s">
        <v>1268</v>
      </c>
      <c r="D271" s="421">
        <v>43372</v>
      </c>
      <c r="E271" s="135" t="s">
        <v>36</v>
      </c>
      <c r="F271" s="25" t="s">
        <v>1269</v>
      </c>
      <c r="G271" s="812"/>
      <c r="H271" s="813"/>
      <c r="I271" s="814"/>
      <c r="J271" s="422" t="s">
        <v>38</v>
      </c>
      <c r="K271" s="148"/>
      <c r="L271" s="148" t="s">
        <v>28</v>
      </c>
      <c r="M271" s="423">
        <v>200</v>
      </c>
    </row>
    <row r="272" spans="1:13" s="152" customFormat="1" ht="24" customHeight="1" thickTop="1" thickBot="1">
      <c r="A272" s="518">
        <f>A267+264</f>
        <v>264</v>
      </c>
      <c r="B272" s="150" t="s">
        <v>19</v>
      </c>
      <c r="C272" s="150" t="s">
        <v>20</v>
      </c>
      <c r="D272" s="150" t="s">
        <v>21</v>
      </c>
      <c r="E272" s="523" t="s">
        <v>22</v>
      </c>
      <c r="F272" s="523"/>
      <c r="G272" s="565" t="s">
        <v>12</v>
      </c>
      <c r="H272" s="566"/>
      <c r="I272" s="567"/>
      <c r="J272" s="126" t="s">
        <v>39</v>
      </c>
      <c r="K272" s="127"/>
      <c r="L272" s="127"/>
      <c r="M272" s="137"/>
    </row>
    <row r="273" spans="1:13" s="152" customFormat="1" ht="34.5" thickBot="1">
      <c r="A273" s="521"/>
      <c r="B273" s="128" t="s">
        <v>1270</v>
      </c>
      <c r="C273" s="128" t="s">
        <v>1271</v>
      </c>
      <c r="D273" s="129">
        <v>43368</v>
      </c>
      <c r="E273" s="128"/>
      <c r="F273" s="128" t="s">
        <v>1272</v>
      </c>
      <c r="G273" s="524" t="s">
        <v>1273</v>
      </c>
      <c r="H273" s="585"/>
      <c r="I273" s="586"/>
      <c r="J273" s="130" t="s">
        <v>123</v>
      </c>
      <c r="K273" s="130"/>
      <c r="L273" s="130" t="s">
        <v>28</v>
      </c>
      <c r="M273" s="65">
        <v>932</v>
      </c>
    </row>
    <row r="274" spans="1:13" s="152" customFormat="1" ht="23.25" thickBot="1">
      <c r="A274" s="521"/>
      <c r="B274" s="153" t="s">
        <v>29</v>
      </c>
      <c r="C274" s="153" t="s">
        <v>30</v>
      </c>
      <c r="D274" s="153" t="s">
        <v>31</v>
      </c>
      <c r="E274" s="580" t="s">
        <v>32</v>
      </c>
      <c r="F274" s="581"/>
      <c r="G274" s="529"/>
      <c r="H274" s="530"/>
      <c r="I274" s="531"/>
      <c r="J274" s="131" t="s">
        <v>40</v>
      </c>
      <c r="K274" s="132"/>
      <c r="L274" s="132"/>
      <c r="M274" s="138"/>
    </row>
    <row r="275" spans="1:13" s="152" customFormat="1" ht="15.75" thickBot="1">
      <c r="A275" s="522"/>
      <c r="B275" s="133" t="s">
        <v>1274</v>
      </c>
      <c r="C275" s="133" t="s">
        <v>1273</v>
      </c>
      <c r="D275" s="144">
        <v>43369</v>
      </c>
      <c r="E275" s="135" t="s">
        <v>36</v>
      </c>
      <c r="F275" s="136" t="s">
        <v>1275</v>
      </c>
      <c r="G275" s="582"/>
      <c r="H275" s="583"/>
      <c r="I275" s="584"/>
      <c r="J275" s="131" t="s">
        <v>41</v>
      </c>
      <c r="K275" s="132"/>
      <c r="L275" s="132"/>
      <c r="M275" s="138"/>
    </row>
    <row r="276" spans="1:13" s="152" customFormat="1" ht="24" customHeight="1" thickTop="1" thickBot="1">
      <c r="A276" s="518">
        <f>A271+265</f>
        <v>265</v>
      </c>
      <c r="B276" s="150" t="s">
        <v>19</v>
      </c>
      <c r="C276" s="150" t="s">
        <v>20</v>
      </c>
      <c r="D276" s="150" t="s">
        <v>21</v>
      </c>
      <c r="E276" s="523" t="s">
        <v>22</v>
      </c>
      <c r="F276" s="523"/>
      <c r="G276" s="565" t="s">
        <v>12</v>
      </c>
      <c r="H276" s="566"/>
      <c r="I276" s="567"/>
      <c r="J276" s="126" t="s">
        <v>39</v>
      </c>
      <c r="K276" s="127"/>
      <c r="L276" s="127"/>
      <c r="M276" s="22"/>
    </row>
    <row r="277" spans="1:13" s="152" customFormat="1" ht="34.5" thickBot="1">
      <c r="A277" s="521"/>
      <c r="B277" s="128" t="s">
        <v>1276</v>
      </c>
      <c r="C277" s="128" t="s">
        <v>1277</v>
      </c>
      <c r="D277" s="129">
        <v>43305</v>
      </c>
      <c r="E277" s="128"/>
      <c r="F277" s="128" t="s">
        <v>1278</v>
      </c>
      <c r="G277" s="524" t="s">
        <v>1279</v>
      </c>
      <c r="H277" s="525"/>
      <c r="I277" s="526"/>
      <c r="J277" s="130" t="s">
        <v>108</v>
      </c>
      <c r="K277" s="130"/>
      <c r="L277" s="130" t="s">
        <v>28</v>
      </c>
      <c r="M277" s="145">
        <v>362.48</v>
      </c>
    </row>
    <row r="278" spans="1:13" s="152" customFormat="1" ht="34.5" thickBot="1">
      <c r="A278" s="521"/>
      <c r="B278" s="153" t="s">
        <v>29</v>
      </c>
      <c r="C278" s="153" t="s">
        <v>30</v>
      </c>
      <c r="D278" s="153" t="s">
        <v>31</v>
      </c>
      <c r="E278" s="527" t="s">
        <v>32</v>
      </c>
      <c r="F278" s="527"/>
      <c r="G278" s="529"/>
      <c r="H278" s="530"/>
      <c r="I278" s="531"/>
      <c r="J278" s="131" t="s">
        <v>109</v>
      </c>
      <c r="K278" s="132"/>
      <c r="L278" s="132" t="s">
        <v>28</v>
      </c>
      <c r="M278" s="24" t="s">
        <v>1280</v>
      </c>
    </row>
    <row r="279" spans="1:13" s="152" customFormat="1" ht="23.25" thickBot="1">
      <c r="A279" s="522"/>
      <c r="B279" s="133" t="s">
        <v>110</v>
      </c>
      <c r="C279" s="133" t="s">
        <v>1281</v>
      </c>
      <c r="D279" s="144">
        <v>43308</v>
      </c>
      <c r="E279" s="135" t="s">
        <v>36</v>
      </c>
      <c r="F279" s="25" t="s">
        <v>1282</v>
      </c>
      <c r="G279" s="582"/>
      <c r="H279" s="583"/>
      <c r="I279" s="584"/>
      <c r="J279" s="131"/>
      <c r="K279" s="132"/>
      <c r="L279" s="132"/>
      <c r="M279" s="24"/>
    </row>
    <row r="280" spans="1:13" s="152" customFormat="1" ht="24" customHeight="1" thickTop="1" thickBot="1">
      <c r="A280" s="518">
        <f>A279+266</f>
        <v>266</v>
      </c>
      <c r="B280" s="150" t="s">
        <v>19</v>
      </c>
      <c r="C280" s="150" t="s">
        <v>20</v>
      </c>
      <c r="D280" s="150" t="s">
        <v>21</v>
      </c>
      <c r="E280" s="523" t="s">
        <v>22</v>
      </c>
      <c r="F280" s="523"/>
      <c r="G280" s="523" t="s">
        <v>12</v>
      </c>
      <c r="H280" s="528"/>
      <c r="I280" s="164"/>
      <c r="J280" s="126" t="s">
        <v>39</v>
      </c>
      <c r="K280" s="127"/>
      <c r="L280" s="127"/>
      <c r="M280" s="22"/>
    </row>
    <row r="281" spans="1:13" s="152" customFormat="1" ht="34.5" thickBot="1">
      <c r="A281" s="521"/>
      <c r="B281" s="128" t="s">
        <v>1283</v>
      </c>
      <c r="C281" s="128" t="s">
        <v>1277</v>
      </c>
      <c r="D281" s="129">
        <v>43305</v>
      </c>
      <c r="E281" s="128"/>
      <c r="F281" s="128" t="s">
        <v>1278</v>
      </c>
      <c r="G281" s="524" t="s">
        <v>1279</v>
      </c>
      <c r="H281" s="525"/>
      <c r="I281" s="526"/>
      <c r="J281" s="130" t="s">
        <v>108</v>
      </c>
      <c r="K281" s="130"/>
      <c r="L281" s="130" t="s">
        <v>28</v>
      </c>
      <c r="M281" s="145">
        <v>362.48</v>
      </c>
    </row>
    <row r="282" spans="1:13" s="152" customFormat="1" ht="34.5" thickBot="1">
      <c r="A282" s="521"/>
      <c r="B282" s="153" t="s">
        <v>29</v>
      </c>
      <c r="C282" s="153" t="s">
        <v>30</v>
      </c>
      <c r="D282" s="153" t="s">
        <v>31</v>
      </c>
      <c r="E282" s="527" t="s">
        <v>32</v>
      </c>
      <c r="F282" s="527"/>
      <c r="G282" s="529"/>
      <c r="H282" s="530"/>
      <c r="I282" s="531"/>
      <c r="J282" s="131" t="s">
        <v>109</v>
      </c>
      <c r="K282" s="132"/>
      <c r="L282" s="132" t="s">
        <v>28</v>
      </c>
      <c r="M282" s="24" t="s">
        <v>1284</v>
      </c>
    </row>
    <row r="283" spans="1:13" s="152" customFormat="1" ht="23.25" thickBot="1">
      <c r="A283" s="522"/>
      <c r="B283" s="133" t="s">
        <v>110</v>
      </c>
      <c r="C283" s="133" t="s">
        <v>1281</v>
      </c>
      <c r="D283" s="144">
        <v>43308</v>
      </c>
      <c r="E283" s="135" t="s">
        <v>36</v>
      </c>
      <c r="F283" s="25" t="s">
        <v>1282</v>
      </c>
      <c r="G283" s="539"/>
      <c r="H283" s="540"/>
      <c r="I283" s="541"/>
      <c r="J283" s="131" t="s">
        <v>41</v>
      </c>
      <c r="K283" s="132"/>
      <c r="L283" s="132"/>
      <c r="M283" s="24"/>
    </row>
    <row r="284" spans="1:13" s="152" customFormat="1" ht="24" customHeight="1" thickTop="1" thickBot="1">
      <c r="A284" s="518">
        <f>A283+267</f>
        <v>267</v>
      </c>
      <c r="B284" s="150" t="s">
        <v>19</v>
      </c>
      <c r="C284" s="150" t="s">
        <v>20</v>
      </c>
      <c r="D284" s="150" t="s">
        <v>21</v>
      </c>
      <c r="E284" s="523" t="s">
        <v>22</v>
      </c>
      <c r="F284" s="523"/>
      <c r="G284" s="523" t="s">
        <v>12</v>
      </c>
      <c r="H284" s="528"/>
      <c r="I284" s="164"/>
      <c r="J284" s="126" t="s">
        <v>39</v>
      </c>
      <c r="K284" s="127"/>
      <c r="L284" s="127"/>
      <c r="M284" s="22"/>
    </row>
    <row r="285" spans="1:13" s="152" customFormat="1" ht="23.25" thickBot="1">
      <c r="A285" s="521"/>
      <c r="B285" s="128" t="s">
        <v>1285</v>
      </c>
      <c r="C285" s="128" t="s">
        <v>982</v>
      </c>
      <c r="D285" s="129">
        <v>43243</v>
      </c>
      <c r="E285" s="128"/>
      <c r="F285" s="128" t="s">
        <v>1286</v>
      </c>
      <c r="G285" s="524" t="s">
        <v>183</v>
      </c>
      <c r="H285" s="525"/>
      <c r="I285" s="526"/>
      <c r="J285" s="130" t="s">
        <v>108</v>
      </c>
      <c r="K285" s="130"/>
      <c r="L285" s="130" t="s">
        <v>28</v>
      </c>
      <c r="M285" s="65">
        <v>537</v>
      </c>
    </row>
    <row r="286" spans="1:13" s="152" customFormat="1" ht="23.25" thickBot="1">
      <c r="A286" s="521"/>
      <c r="B286" s="153" t="s">
        <v>29</v>
      </c>
      <c r="C286" s="153" t="s">
        <v>30</v>
      </c>
      <c r="D286" s="153" t="s">
        <v>31</v>
      </c>
      <c r="E286" s="527" t="s">
        <v>32</v>
      </c>
      <c r="F286" s="527"/>
      <c r="G286" s="529"/>
      <c r="H286" s="530"/>
      <c r="I286" s="531"/>
      <c r="J286" s="131" t="s">
        <v>98</v>
      </c>
      <c r="K286" s="132"/>
      <c r="L286" s="132" t="s">
        <v>28</v>
      </c>
      <c r="M286" s="66">
        <v>386</v>
      </c>
    </row>
    <row r="287" spans="1:13" s="152" customFormat="1" ht="34.5" thickBot="1">
      <c r="A287" s="522"/>
      <c r="B287" s="133" t="s">
        <v>110</v>
      </c>
      <c r="C287" s="133" t="s">
        <v>183</v>
      </c>
      <c r="D287" s="144">
        <v>43245</v>
      </c>
      <c r="E287" s="135" t="s">
        <v>36</v>
      </c>
      <c r="F287" s="25" t="s">
        <v>1287</v>
      </c>
      <c r="G287" s="539"/>
      <c r="H287" s="540"/>
      <c r="I287" s="541"/>
      <c r="J287" s="131" t="s">
        <v>1288</v>
      </c>
      <c r="K287" s="132"/>
      <c r="L287" s="132" t="s">
        <v>28</v>
      </c>
      <c r="M287" s="66">
        <v>113</v>
      </c>
    </row>
    <row r="288" spans="1:13" s="152" customFormat="1" ht="24" customHeight="1" thickTop="1" thickBot="1">
      <c r="A288" s="518">
        <f>A287+268</f>
        <v>268</v>
      </c>
      <c r="B288" s="150" t="s">
        <v>19</v>
      </c>
      <c r="C288" s="150" t="s">
        <v>20</v>
      </c>
      <c r="D288" s="150" t="s">
        <v>21</v>
      </c>
      <c r="E288" s="523" t="s">
        <v>22</v>
      </c>
      <c r="F288" s="523"/>
      <c r="G288" s="523" t="s">
        <v>12</v>
      </c>
      <c r="H288" s="528"/>
      <c r="I288" s="164"/>
      <c r="J288" s="126" t="s">
        <v>39</v>
      </c>
      <c r="K288" s="127"/>
      <c r="L288" s="127"/>
      <c r="M288" s="22"/>
    </row>
    <row r="289" spans="1:13" s="152" customFormat="1" ht="34.5" thickBot="1">
      <c r="A289" s="521"/>
      <c r="B289" s="128" t="s">
        <v>1289</v>
      </c>
      <c r="C289" s="128" t="s">
        <v>1290</v>
      </c>
      <c r="D289" s="129">
        <v>43199</v>
      </c>
      <c r="E289" s="128"/>
      <c r="F289" s="128" t="s">
        <v>1291</v>
      </c>
      <c r="G289" s="524" t="s">
        <v>1292</v>
      </c>
      <c r="H289" s="525"/>
      <c r="I289" s="526"/>
      <c r="J289" s="130" t="s">
        <v>108</v>
      </c>
      <c r="K289" s="130"/>
      <c r="L289" s="130" t="s">
        <v>28</v>
      </c>
      <c r="M289" s="65">
        <v>200</v>
      </c>
    </row>
    <row r="290" spans="1:13" s="152" customFormat="1" ht="23.25" thickBot="1">
      <c r="A290" s="521"/>
      <c r="B290" s="153" t="s">
        <v>29</v>
      </c>
      <c r="C290" s="153" t="s">
        <v>30</v>
      </c>
      <c r="D290" s="153" t="s">
        <v>31</v>
      </c>
      <c r="E290" s="527" t="s">
        <v>32</v>
      </c>
      <c r="F290" s="527"/>
      <c r="G290" s="529"/>
      <c r="H290" s="530"/>
      <c r="I290" s="531"/>
      <c r="J290" s="131" t="s">
        <v>98</v>
      </c>
      <c r="K290" s="132"/>
      <c r="L290" s="132" t="s">
        <v>28</v>
      </c>
      <c r="M290" s="66">
        <v>700</v>
      </c>
    </row>
    <row r="291" spans="1:13" s="152" customFormat="1" ht="34.5" thickBot="1">
      <c r="A291" s="522"/>
      <c r="B291" s="133" t="s">
        <v>101</v>
      </c>
      <c r="C291" s="133" t="s">
        <v>1293</v>
      </c>
      <c r="D291" s="144">
        <v>43200</v>
      </c>
      <c r="E291" s="135" t="s">
        <v>36</v>
      </c>
      <c r="F291" s="25" t="s">
        <v>1294</v>
      </c>
      <c r="G291" s="539"/>
      <c r="H291" s="540"/>
      <c r="I291" s="541"/>
      <c r="J291" s="131" t="s">
        <v>1295</v>
      </c>
      <c r="K291" s="132"/>
      <c r="L291" s="132" t="s">
        <v>28</v>
      </c>
      <c r="M291" s="66">
        <v>225</v>
      </c>
    </row>
    <row r="292" spans="1:13" s="152" customFormat="1" ht="24" customHeight="1" thickTop="1" thickBot="1">
      <c r="A292" s="518">
        <f>A291+269</f>
        <v>269</v>
      </c>
      <c r="B292" s="150" t="s">
        <v>19</v>
      </c>
      <c r="C292" s="150" t="s">
        <v>20</v>
      </c>
      <c r="D292" s="150" t="s">
        <v>21</v>
      </c>
      <c r="E292" s="523" t="s">
        <v>22</v>
      </c>
      <c r="F292" s="523"/>
      <c r="G292" s="523" t="s">
        <v>12</v>
      </c>
      <c r="H292" s="528"/>
      <c r="I292" s="164"/>
      <c r="J292" s="126" t="s">
        <v>39</v>
      </c>
      <c r="K292" s="127"/>
      <c r="L292" s="127"/>
      <c r="M292" s="22"/>
    </row>
    <row r="293" spans="1:13" s="152" customFormat="1" ht="34.5" thickBot="1">
      <c r="A293" s="521"/>
      <c r="B293" s="128" t="s">
        <v>1296</v>
      </c>
      <c r="C293" s="128" t="s">
        <v>1290</v>
      </c>
      <c r="D293" s="129">
        <v>43199</v>
      </c>
      <c r="E293" s="128"/>
      <c r="F293" s="128" t="s">
        <v>1291</v>
      </c>
      <c r="G293" s="524" t="s">
        <v>1292</v>
      </c>
      <c r="H293" s="525"/>
      <c r="I293" s="526"/>
      <c r="J293" s="130" t="s">
        <v>108</v>
      </c>
      <c r="K293" s="130"/>
      <c r="L293" s="130" t="s">
        <v>28</v>
      </c>
      <c r="M293" s="65">
        <v>200</v>
      </c>
    </row>
    <row r="294" spans="1:13" s="152" customFormat="1" ht="23.25" thickBot="1">
      <c r="A294" s="521"/>
      <c r="B294" s="153" t="s">
        <v>29</v>
      </c>
      <c r="C294" s="153" t="s">
        <v>30</v>
      </c>
      <c r="D294" s="153" t="s">
        <v>31</v>
      </c>
      <c r="E294" s="527" t="s">
        <v>32</v>
      </c>
      <c r="F294" s="527"/>
      <c r="G294" s="529"/>
      <c r="H294" s="530"/>
      <c r="I294" s="531"/>
      <c r="J294" s="131" t="s">
        <v>98</v>
      </c>
      <c r="K294" s="132"/>
      <c r="L294" s="132" t="s">
        <v>28</v>
      </c>
      <c r="M294" s="66">
        <v>700</v>
      </c>
    </row>
    <row r="295" spans="1:13" s="152" customFormat="1" ht="34.5" thickBot="1">
      <c r="A295" s="522"/>
      <c r="B295" s="133" t="s">
        <v>101</v>
      </c>
      <c r="C295" s="133" t="s">
        <v>1293</v>
      </c>
      <c r="D295" s="144">
        <v>43200</v>
      </c>
      <c r="E295" s="135" t="s">
        <v>36</v>
      </c>
      <c r="F295" s="25" t="s">
        <v>1294</v>
      </c>
      <c r="G295" s="539"/>
      <c r="H295" s="540"/>
      <c r="I295" s="541"/>
      <c r="J295" s="131" t="s">
        <v>1295</v>
      </c>
      <c r="K295" s="132"/>
      <c r="L295" s="132" t="s">
        <v>28</v>
      </c>
      <c r="M295" s="66">
        <v>225</v>
      </c>
    </row>
    <row r="296" spans="1:13" s="152" customFormat="1" ht="24" customHeight="1" thickTop="1" thickBot="1">
      <c r="A296" s="518">
        <f>A295+270</f>
        <v>270</v>
      </c>
      <c r="B296" s="150" t="s">
        <v>19</v>
      </c>
      <c r="C296" s="150" t="s">
        <v>20</v>
      </c>
      <c r="D296" s="150" t="s">
        <v>21</v>
      </c>
      <c r="E296" s="523" t="s">
        <v>22</v>
      </c>
      <c r="F296" s="523"/>
      <c r="G296" s="523" t="s">
        <v>12</v>
      </c>
      <c r="H296" s="528"/>
      <c r="I296" s="164"/>
      <c r="J296" s="126" t="s">
        <v>39</v>
      </c>
      <c r="K296" s="127"/>
      <c r="L296" s="127"/>
      <c r="M296" s="22"/>
    </row>
    <row r="297" spans="1:13" s="152" customFormat="1" ht="34.5" thickBot="1">
      <c r="A297" s="521"/>
      <c r="B297" s="128" t="s">
        <v>1297</v>
      </c>
      <c r="C297" s="128" t="s">
        <v>1290</v>
      </c>
      <c r="D297" s="129">
        <v>43199</v>
      </c>
      <c r="E297" s="128"/>
      <c r="F297" s="128" t="s">
        <v>1291</v>
      </c>
      <c r="G297" s="524" t="s">
        <v>1292</v>
      </c>
      <c r="H297" s="525"/>
      <c r="I297" s="526"/>
      <c r="J297" s="130" t="s">
        <v>108</v>
      </c>
      <c r="K297" s="130"/>
      <c r="L297" s="130" t="s">
        <v>28</v>
      </c>
      <c r="M297" s="65">
        <v>200</v>
      </c>
    </row>
    <row r="298" spans="1:13" s="152" customFormat="1" ht="23.25" thickBot="1">
      <c r="A298" s="521"/>
      <c r="B298" s="153" t="s">
        <v>29</v>
      </c>
      <c r="C298" s="153" t="s">
        <v>30</v>
      </c>
      <c r="D298" s="153" t="s">
        <v>31</v>
      </c>
      <c r="E298" s="527" t="s">
        <v>32</v>
      </c>
      <c r="F298" s="527"/>
      <c r="G298" s="529"/>
      <c r="H298" s="530"/>
      <c r="I298" s="531"/>
      <c r="J298" s="131" t="s">
        <v>98</v>
      </c>
      <c r="K298" s="132"/>
      <c r="L298" s="132" t="s">
        <v>28</v>
      </c>
      <c r="M298" s="66">
        <v>700</v>
      </c>
    </row>
    <row r="299" spans="1:13" s="152" customFormat="1" ht="34.5" thickBot="1">
      <c r="A299" s="522"/>
      <c r="B299" s="133" t="s">
        <v>101</v>
      </c>
      <c r="C299" s="133" t="s">
        <v>1293</v>
      </c>
      <c r="D299" s="144">
        <v>43200</v>
      </c>
      <c r="E299" s="135" t="s">
        <v>36</v>
      </c>
      <c r="F299" s="25" t="s">
        <v>1294</v>
      </c>
      <c r="G299" s="539"/>
      <c r="H299" s="540"/>
      <c r="I299" s="541"/>
      <c r="J299" s="131" t="s">
        <v>1295</v>
      </c>
      <c r="K299" s="132"/>
      <c r="L299" s="132" t="s">
        <v>28</v>
      </c>
      <c r="M299" s="66">
        <v>225</v>
      </c>
    </row>
    <row r="300" spans="1:13" s="152" customFormat="1" ht="24" customHeight="1" thickTop="1" thickBot="1">
      <c r="A300" s="518">
        <f>A299+271</f>
        <v>271</v>
      </c>
      <c r="B300" s="150" t="s">
        <v>19</v>
      </c>
      <c r="C300" s="150" t="s">
        <v>20</v>
      </c>
      <c r="D300" s="150" t="s">
        <v>21</v>
      </c>
      <c r="E300" s="523" t="s">
        <v>22</v>
      </c>
      <c r="F300" s="523"/>
      <c r="G300" s="523" t="s">
        <v>12</v>
      </c>
      <c r="H300" s="528"/>
      <c r="I300" s="164"/>
      <c r="J300" s="126" t="s">
        <v>39</v>
      </c>
      <c r="K300" s="127"/>
      <c r="L300" s="127"/>
      <c r="M300" s="22"/>
    </row>
    <row r="301" spans="1:13" s="152" customFormat="1" ht="34.5" thickBot="1">
      <c r="A301" s="521"/>
      <c r="B301" s="128" t="s">
        <v>1298</v>
      </c>
      <c r="C301" s="128" t="s">
        <v>1290</v>
      </c>
      <c r="D301" s="129">
        <v>43199</v>
      </c>
      <c r="E301" s="128"/>
      <c r="F301" s="128" t="s">
        <v>1291</v>
      </c>
      <c r="G301" s="524" t="s">
        <v>1292</v>
      </c>
      <c r="H301" s="525"/>
      <c r="I301" s="526"/>
      <c r="J301" s="130" t="s">
        <v>108</v>
      </c>
      <c r="K301" s="130"/>
      <c r="L301" s="130" t="s">
        <v>28</v>
      </c>
      <c r="M301" s="65">
        <v>200</v>
      </c>
    </row>
    <row r="302" spans="1:13" s="152" customFormat="1" ht="23.25" thickBot="1">
      <c r="A302" s="521"/>
      <c r="B302" s="153" t="s">
        <v>29</v>
      </c>
      <c r="C302" s="153" t="s">
        <v>30</v>
      </c>
      <c r="D302" s="153" t="s">
        <v>31</v>
      </c>
      <c r="E302" s="527" t="s">
        <v>32</v>
      </c>
      <c r="F302" s="527"/>
      <c r="G302" s="529"/>
      <c r="H302" s="530"/>
      <c r="I302" s="531"/>
      <c r="J302" s="131" t="s">
        <v>98</v>
      </c>
      <c r="K302" s="132"/>
      <c r="L302" s="132" t="s">
        <v>28</v>
      </c>
      <c r="M302" s="66">
        <v>700</v>
      </c>
    </row>
    <row r="303" spans="1:13" s="152" customFormat="1" ht="34.5" thickBot="1">
      <c r="A303" s="522"/>
      <c r="B303" s="133" t="s">
        <v>101</v>
      </c>
      <c r="C303" s="133" t="s">
        <v>1293</v>
      </c>
      <c r="D303" s="144">
        <v>43200</v>
      </c>
      <c r="E303" s="135" t="s">
        <v>36</v>
      </c>
      <c r="F303" s="25" t="s">
        <v>1294</v>
      </c>
      <c r="G303" s="539"/>
      <c r="H303" s="540"/>
      <c r="I303" s="541"/>
      <c r="J303" s="131" t="s">
        <v>1295</v>
      </c>
      <c r="K303" s="132"/>
      <c r="L303" s="132" t="s">
        <v>28</v>
      </c>
      <c r="M303" s="66">
        <v>225</v>
      </c>
    </row>
    <row r="304" spans="1:13" s="152" customFormat="1" ht="24" customHeight="1" thickTop="1" thickBot="1">
      <c r="A304" s="518">
        <f>A299+272</f>
        <v>272</v>
      </c>
      <c r="B304" s="150" t="s">
        <v>19</v>
      </c>
      <c r="C304" s="150" t="s">
        <v>20</v>
      </c>
      <c r="D304" s="150" t="s">
        <v>21</v>
      </c>
      <c r="E304" s="523" t="s">
        <v>22</v>
      </c>
      <c r="F304" s="523"/>
      <c r="G304" s="523" t="s">
        <v>12</v>
      </c>
      <c r="H304" s="528"/>
      <c r="I304" s="164"/>
      <c r="J304" s="126" t="s">
        <v>39</v>
      </c>
      <c r="K304" s="127"/>
      <c r="L304" s="127"/>
      <c r="M304" s="22"/>
    </row>
    <row r="305" spans="1:13" s="152" customFormat="1" ht="57" thickBot="1">
      <c r="A305" s="521"/>
      <c r="B305" s="128" t="s">
        <v>1299</v>
      </c>
      <c r="C305" s="128" t="s">
        <v>1300</v>
      </c>
      <c r="D305" s="129">
        <v>43216</v>
      </c>
      <c r="E305" s="128"/>
      <c r="F305" s="128" t="s">
        <v>1301</v>
      </c>
      <c r="G305" s="524" t="s">
        <v>1302</v>
      </c>
      <c r="H305" s="525"/>
      <c r="I305" s="526"/>
      <c r="J305" s="130" t="s">
        <v>108</v>
      </c>
      <c r="K305" s="130"/>
      <c r="L305" s="130" t="s">
        <v>28</v>
      </c>
      <c r="M305" s="65">
        <v>900</v>
      </c>
    </row>
    <row r="306" spans="1:13" s="152" customFormat="1" ht="23.25" thickBot="1">
      <c r="A306" s="521"/>
      <c r="B306" s="153" t="s">
        <v>29</v>
      </c>
      <c r="C306" s="153" t="s">
        <v>30</v>
      </c>
      <c r="D306" s="153" t="s">
        <v>31</v>
      </c>
      <c r="E306" s="527" t="s">
        <v>32</v>
      </c>
      <c r="F306" s="527"/>
      <c r="G306" s="529"/>
      <c r="H306" s="530"/>
      <c r="I306" s="531"/>
      <c r="J306" s="131" t="s">
        <v>127</v>
      </c>
      <c r="K306" s="132"/>
      <c r="L306" s="132" t="s">
        <v>28</v>
      </c>
      <c r="M306" s="66">
        <v>100</v>
      </c>
    </row>
    <row r="307" spans="1:13" s="152" customFormat="1" ht="169.5" thickBot="1">
      <c r="A307" s="522"/>
      <c r="B307" s="133" t="s">
        <v>1303</v>
      </c>
      <c r="C307" s="133" t="s">
        <v>1304</v>
      </c>
      <c r="D307" s="144">
        <v>43225</v>
      </c>
      <c r="E307" s="135" t="s">
        <v>36</v>
      </c>
      <c r="F307" s="25" t="s">
        <v>1305</v>
      </c>
      <c r="G307" s="539"/>
      <c r="H307" s="540"/>
      <c r="I307" s="541"/>
      <c r="J307" s="131" t="s">
        <v>41</v>
      </c>
      <c r="K307" s="132"/>
      <c r="L307" s="132"/>
      <c r="M307" s="24"/>
    </row>
    <row r="308" spans="1:13" s="152" customFormat="1" ht="24" customHeight="1" thickTop="1" thickBot="1">
      <c r="A308" s="518">
        <f>A303+273</f>
        <v>273</v>
      </c>
      <c r="B308" s="150" t="s">
        <v>19</v>
      </c>
      <c r="C308" s="150" t="s">
        <v>20</v>
      </c>
      <c r="D308" s="150" t="s">
        <v>21</v>
      </c>
      <c r="E308" s="523" t="s">
        <v>22</v>
      </c>
      <c r="F308" s="523"/>
      <c r="G308" s="523" t="s">
        <v>12</v>
      </c>
      <c r="H308" s="528"/>
      <c r="I308" s="164"/>
      <c r="J308" s="126" t="s">
        <v>39</v>
      </c>
      <c r="K308" s="127"/>
      <c r="L308" s="127"/>
      <c r="M308" s="22"/>
    </row>
    <row r="309" spans="1:13" s="152" customFormat="1" ht="45.75" thickBot="1">
      <c r="A309" s="521"/>
      <c r="B309" s="128" t="s">
        <v>111</v>
      </c>
      <c r="C309" s="128" t="s">
        <v>1306</v>
      </c>
      <c r="D309" s="129">
        <v>43209</v>
      </c>
      <c r="E309" s="128"/>
      <c r="F309" s="128" t="s">
        <v>107</v>
      </c>
      <c r="G309" s="524" t="s">
        <v>1307</v>
      </c>
      <c r="H309" s="525"/>
      <c r="I309" s="526"/>
      <c r="J309" s="130" t="s">
        <v>108</v>
      </c>
      <c r="K309" s="130"/>
      <c r="L309" s="130" t="s">
        <v>28</v>
      </c>
      <c r="M309" s="65">
        <v>500</v>
      </c>
    </row>
    <row r="310" spans="1:13" s="152" customFormat="1" ht="23.25" thickBot="1">
      <c r="A310" s="521"/>
      <c r="B310" s="153" t="s">
        <v>29</v>
      </c>
      <c r="C310" s="153" t="s">
        <v>30</v>
      </c>
      <c r="D310" s="153" t="s">
        <v>31</v>
      </c>
      <c r="E310" s="527" t="s">
        <v>32</v>
      </c>
      <c r="F310" s="527"/>
      <c r="G310" s="529"/>
      <c r="H310" s="530"/>
      <c r="I310" s="531"/>
      <c r="J310" s="131" t="s">
        <v>38</v>
      </c>
      <c r="K310" s="132" t="s">
        <v>28</v>
      </c>
      <c r="L310" s="132"/>
      <c r="M310" s="66">
        <v>100</v>
      </c>
    </row>
    <row r="311" spans="1:13" s="152" customFormat="1" ht="23.25" thickBot="1">
      <c r="A311" s="522"/>
      <c r="B311" s="133" t="s">
        <v>102</v>
      </c>
      <c r="C311" s="133" t="s">
        <v>1308</v>
      </c>
      <c r="D311" s="144">
        <v>43210</v>
      </c>
      <c r="E311" s="135" t="s">
        <v>36</v>
      </c>
      <c r="F311" s="25" t="s">
        <v>1309</v>
      </c>
      <c r="G311" s="539"/>
      <c r="H311" s="540"/>
      <c r="I311" s="541"/>
      <c r="J311" s="131" t="s">
        <v>127</v>
      </c>
      <c r="K311" s="132" t="s">
        <v>28</v>
      </c>
      <c r="L311" s="132"/>
      <c r="M311" s="66">
        <v>400</v>
      </c>
    </row>
    <row r="312" spans="1:13" s="152" customFormat="1" ht="24" customHeight="1" thickTop="1" thickBot="1">
      <c r="A312" s="518">
        <f>A307+274</f>
        <v>274</v>
      </c>
      <c r="B312" s="150" t="s">
        <v>19</v>
      </c>
      <c r="C312" s="150" t="s">
        <v>20</v>
      </c>
      <c r="D312" s="150" t="s">
        <v>21</v>
      </c>
      <c r="E312" s="523" t="s">
        <v>22</v>
      </c>
      <c r="F312" s="523"/>
      <c r="G312" s="523" t="s">
        <v>12</v>
      </c>
      <c r="H312" s="528"/>
      <c r="I312" s="164"/>
      <c r="J312" s="126" t="s">
        <v>39</v>
      </c>
      <c r="K312" s="127"/>
      <c r="L312" s="127"/>
      <c r="M312" s="22"/>
    </row>
    <row r="313" spans="1:13" s="152" customFormat="1" ht="23.25" thickBot="1">
      <c r="A313" s="521"/>
      <c r="B313" s="128" t="s">
        <v>1310</v>
      </c>
      <c r="C313" s="128" t="s">
        <v>1311</v>
      </c>
      <c r="D313" s="129">
        <v>43201</v>
      </c>
      <c r="E313" s="128"/>
      <c r="F313" s="128" t="s">
        <v>1068</v>
      </c>
      <c r="G313" s="524" t="s">
        <v>1312</v>
      </c>
      <c r="H313" s="525"/>
      <c r="I313" s="526"/>
      <c r="J313" s="130" t="s">
        <v>108</v>
      </c>
      <c r="K313" s="130"/>
      <c r="L313" s="130" t="s">
        <v>28</v>
      </c>
      <c r="M313" s="65">
        <v>807</v>
      </c>
    </row>
    <row r="314" spans="1:13" s="152" customFormat="1" ht="34.5" thickBot="1">
      <c r="A314" s="521"/>
      <c r="B314" s="153" t="s">
        <v>29</v>
      </c>
      <c r="C314" s="153" t="s">
        <v>30</v>
      </c>
      <c r="D314" s="153" t="s">
        <v>31</v>
      </c>
      <c r="E314" s="527" t="s">
        <v>32</v>
      </c>
      <c r="F314" s="527"/>
      <c r="G314" s="529"/>
      <c r="H314" s="530"/>
      <c r="I314" s="531"/>
      <c r="J314" s="131" t="s">
        <v>1313</v>
      </c>
      <c r="K314" s="132"/>
      <c r="L314" s="132" t="s">
        <v>28</v>
      </c>
      <c r="M314" s="66">
        <v>256</v>
      </c>
    </row>
    <row r="315" spans="1:13" s="152" customFormat="1" ht="34.5" thickBot="1">
      <c r="A315" s="522"/>
      <c r="B315" s="133" t="s">
        <v>130</v>
      </c>
      <c r="C315" s="133" t="s">
        <v>1314</v>
      </c>
      <c r="D315" s="144">
        <v>43203</v>
      </c>
      <c r="E315" s="135" t="s">
        <v>36</v>
      </c>
      <c r="F315" s="25" t="s">
        <v>1315</v>
      </c>
      <c r="G315" s="539"/>
      <c r="H315" s="540"/>
      <c r="I315" s="541"/>
      <c r="J315" s="131" t="s">
        <v>41</v>
      </c>
      <c r="K315" s="132"/>
      <c r="L315" s="132"/>
      <c r="M315" s="24"/>
    </row>
    <row r="316" spans="1:13" s="152" customFormat="1" ht="24" customHeight="1" thickTop="1" thickBot="1">
      <c r="A316" s="518">
        <f>A315+275</f>
        <v>275</v>
      </c>
      <c r="B316" s="150" t="s">
        <v>19</v>
      </c>
      <c r="C316" s="150" t="s">
        <v>20</v>
      </c>
      <c r="D316" s="150" t="s">
        <v>21</v>
      </c>
      <c r="E316" s="523" t="s">
        <v>22</v>
      </c>
      <c r="F316" s="523"/>
      <c r="G316" s="523" t="s">
        <v>12</v>
      </c>
      <c r="H316" s="528"/>
      <c r="I316" s="164"/>
      <c r="J316" s="126" t="s">
        <v>39</v>
      </c>
      <c r="K316" s="127"/>
      <c r="L316" s="127"/>
      <c r="M316" s="22"/>
    </row>
    <row r="317" spans="1:13" s="152" customFormat="1" ht="45.75" thickBot="1">
      <c r="A317" s="521"/>
      <c r="B317" s="128" t="s">
        <v>1316</v>
      </c>
      <c r="C317" s="128" t="s">
        <v>1317</v>
      </c>
      <c r="D317" s="129">
        <v>43209</v>
      </c>
      <c r="E317" s="128"/>
      <c r="F317" s="128" t="s">
        <v>1318</v>
      </c>
      <c r="G317" s="524" t="s">
        <v>1319</v>
      </c>
      <c r="H317" s="525"/>
      <c r="I317" s="526"/>
      <c r="J317" s="130" t="s">
        <v>108</v>
      </c>
      <c r="K317" s="130"/>
      <c r="L317" s="130" t="s">
        <v>28</v>
      </c>
      <c r="M317" s="65">
        <v>200</v>
      </c>
    </row>
    <row r="318" spans="1:13" s="152" customFormat="1" ht="34.5" thickBot="1">
      <c r="A318" s="521"/>
      <c r="B318" s="153" t="s">
        <v>29</v>
      </c>
      <c r="C318" s="153" t="s">
        <v>30</v>
      </c>
      <c r="D318" s="153" t="s">
        <v>31</v>
      </c>
      <c r="E318" s="527" t="s">
        <v>32</v>
      </c>
      <c r="F318" s="527"/>
      <c r="G318" s="529"/>
      <c r="H318" s="530"/>
      <c r="I318" s="531"/>
      <c r="J318" s="131" t="s">
        <v>109</v>
      </c>
      <c r="K318" s="132" t="s">
        <v>28</v>
      </c>
      <c r="L318" s="132"/>
      <c r="M318" s="66" t="s">
        <v>1320</v>
      </c>
    </row>
    <row r="319" spans="1:13" s="152" customFormat="1" ht="23.25" thickBot="1">
      <c r="A319" s="522"/>
      <c r="B319" s="133" t="s">
        <v>1321</v>
      </c>
      <c r="C319" s="133" t="s">
        <v>1322</v>
      </c>
      <c r="D319" s="144">
        <v>43210</v>
      </c>
      <c r="E319" s="135" t="s">
        <v>36</v>
      </c>
      <c r="F319" s="25" t="s">
        <v>1323</v>
      </c>
      <c r="G319" s="539"/>
      <c r="H319" s="540"/>
      <c r="I319" s="541"/>
      <c r="J319" s="131" t="s">
        <v>221</v>
      </c>
      <c r="K319" s="132" t="s">
        <v>28</v>
      </c>
      <c r="L319" s="132" t="s">
        <v>28</v>
      </c>
      <c r="M319" s="66">
        <v>125</v>
      </c>
    </row>
    <row r="320" spans="1:13" s="152" customFormat="1" ht="24" customHeight="1" thickTop="1" thickBot="1">
      <c r="A320" s="518">
        <f>A319+276</f>
        <v>276</v>
      </c>
      <c r="B320" s="150" t="s">
        <v>19</v>
      </c>
      <c r="C320" s="150" t="s">
        <v>20</v>
      </c>
      <c r="D320" s="150" t="s">
        <v>21</v>
      </c>
      <c r="E320" s="523" t="s">
        <v>22</v>
      </c>
      <c r="F320" s="523"/>
      <c r="G320" s="523" t="s">
        <v>12</v>
      </c>
      <c r="H320" s="528"/>
      <c r="I320" s="164"/>
      <c r="J320" s="126" t="s">
        <v>39</v>
      </c>
      <c r="K320" s="127"/>
      <c r="L320" s="127"/>
      <c r="M320" s="22"/>
    </row>
    <row r="321" spans="1:13" s="152" customFormat="1" ht="34.5" thickBot="1">
      <c r="A321" s="521"/>
      <c r="B321" s="128" t="s">
        <v>1324</v>
      </c>
      <c r="C321" s="128" t="s">
        <v>1325</v>
      </c>
      <c r="D321" s="129">
        <v>43255</v>
      </c>
      <c r="E321" s="128"/>
      <c r="F321" s="128" t="s">
        <v>1326</v>
      </c>
      <c r="G321" s="524" t="s">
        <v>1327</v>
      </c>
      <c r="H321" s="525"/>
      <c r="I321" s="526"/>
      <c r="J321" s="130" t="s">
        <v>108</v>
      </c>
      <c r="K321" s="130"/>
      <c r="L321" s="130" t="s">
        <v>28</v>
      </c>
      <c r="M321" s="65">
        <v>500</v>
      </c>
    </row>
    <row r="322" spans="1:13" s="152" customFormat="1" ht="34.5" thickBot="1">
      <c r="A322" s="521"/>
      <c r="B322" s="153" t="s">
        <v>29</v>
      </c>
      <c r="C322" s="153" t="s">
        <v>30</v>
      </c>
      <c r="D322" s="153" t="s">
        <v>31</v>
      </c>
      <c r="E322" s="527" t="s">
        <v>32</v>
      </c>
      <c r="F322" s="527"/>
      <c r="G322" s="529"/>
      <c r="H322" s="530"/>
      <c r="I322" s="531"/>
      <c r="J322" s="131" t="s">
        <v>109</v>
      </c>
      <c r="K322" s="132"/>
      <c r="L322" s="132" t="s">
        <v>28</v>
      </c>
      <c r="M322" s="66" t="s">
        <v>1328</v>
      </c>
    </row>
    <row r="323" spans="1:13" s="152" customFormat="1" ht="34.5" thickBot="1">
      <c r="A323" s="522"/>
      <c r="B323" s="133" t="s">
        <v>102</v>
      </c>
      <c r="C323" s="133" t="s">
        <v>1327</v>
      </c>
      <c r="D323" s="144">
        <v>43259</v>
      </c>
      <c r="E323" s="135" t="s">
        <v>36</v>
      </c>
      <c r="F323" s="25" t="s">
        <v>1329</v>
      </c>
      <c r="G323" s="539"/>
      <c r="H323" s="540"/>
      <c r="I323" s="541"/>
      <c r="J323" s="131" t="s">
        <v>38</v>
      </c>
      <c r="K323" s="132"/>
      <c r="L323" s="132" t="s">
        <v>28</v>
      </c>
      <c r="M323" s="66">
        <v>300</v>
      </c>
    </row>
    <row r="324" spans="1:13" s="152" customFormat="1" ht="24" customHeight="1" thickTop="1" thickBot="1">
      <c r="A324" s="518">
        <f>A323+277</f>
        <v>277</v>
      </c>
      <c r="B324" s="150" t="s">
        <v>19</v>
      </c>
      <c r="C324" s="150" t="s">
        <v>20</v>
      </c>
      <c r="D324" s="150" t="s">
        <v>21</v>
      </c>
      <c r="E324" s="523" t="s">
        <v>22</v>
      </c>
      <c r="F324" s="523"/>
      <c r="G324" s="523" t="s">
        <v>12</v>
      </c>
      <c r="H324" s="528"/>
      <c r="I324" s="164"/>
      <c r="J324" s="126" t="s">
        <v>39</v>
      </c>
      <c r="K324" s="127"/>
      <c r="L324" s="127"/>
      <c r="M324" s="22"/>
    </row>
    <row r="325" spans="1:13" s="152" customFormat="1" ht="57" thickBot="1">
      <c r="A325" s="521"/>
      <c r="B325" s="128" t="s">
        <v>1330</v>
      </c>
      <c r="C325" s="128" t="s">
        <v>1331</v>
      </c>
      <c r="D325" s="129">
        <v>43199</v>
      </c>
      <c r="E325" s="128"/>
      <c r="F325" s="128" t="s">
        <v>1332</v>
      </c>
      <c r="G325" s="524" t="s">
        <v>125</v>
      </c>
      <c r="H325" s="525"/>
      <c r="I325" s="526"/>
      <c r="J325" s="130" t="s">
        <v>98</v>
      </c>
      <c r="K325" s="130" t="s">
        <v>28</v>
      </c>
      <c r="L325" s="130"/>
      <c r="M325" s="65">
        <v>522</v>
      </c>
    </row>
    <row r="326" spans="1:13" s="152" customFormat="1" ht="23.25" thickBot="1">
      <c r="A326" s="521"/>
      <c r="B326" s="153" t="s">
        <v>29</v>
      </c>
      <c r="C326" s="153" t="s">
        <v>30</v>
      </c>
      <c r="D326" s="153" t="s">
        <v>31</v>
      </c>
      <c r="E326" s="527" t="s">
        <v>32</v>
      </c>
      <c r="F326" s="527"/>
      <c r="G326" s="529"/>
      <c r="H326" s="530"/>
      <c r="I326" s="531"/>
      <c r="J326" s="131" t="s">
        <v>127</v>
      </c>
      <c r="K326" s="132" t="s">
        <v>28</v>
      </c>
      <c r="L326" s="132"/>
      <c r="M326" s="66">
        <v>45</v>
      </c>
    </row>
    <row r="327" spans="1:13" s="152" customFormat="1" ht="23.25" thickBot="1">
      <c r="A327" s="522"/>
      <c r="B327" s="133" t="s">
        <v>101</v>
      </c>
      <c r="C327" s="133" t="s">
        <v>125</v>
      </c>
      <c r="D327" s="144">
        <v>43203</v>
      </c>
      <c r="E327" s="135" t="s">
        <v>36</v>
      </c>
      <c r="F327" s="25" t="s">
        <v>1333</v>
      </c>
      <c r="G327" s="539"/>
      <c r="H327" s="540"/>
      <c r="I327" s="541"/>
      <c r="J327" s="131" t="s">
        <v>41</v>
      </c>
      <c r="K327" s="132"/>
      <c r="L327" s="132"/>
      <c r="M327" s="24"/>
    </row>
    <row r="328" spans="1:13" s="152" customFormat="1" ht="24" customHeight="1" thickTop="1" thickBot="1">
      <c r="A328" s="518">
        <f>A327+278</f>
        <v>278</v>
      </c>
      <c r="B328" s="150" t="s">
        <v>19</v>
      </c>
      <c r="C328" s="150" t="s">
        <v>20</v>
      </c>
      <c r="D328" s="150" t="s">
        <v>21</v>
      </c>
      <c r="E328" s="523" t="s">
        <v>22</v>
      </c>
      <c r="F328" s="523"/>
      <c r="G328" s="523" t="s">
        <v>12</v>
      </c>
      <c r="H328" s="528"/>
      <c r="I328" s="164"/>
      <c r="J328" s="126" t="s">
        <v>39</v>
      </c>
      <c r="K328" s="127"/>
      <c r="L328" s="127"/>
      <c r="M328" s="22"/>
    </row>
    <row r="329" spans="1:13" s="152" customFormat="1" ht="57" thickBot="1">
      <c r="A329" s="521"/>
      <c r="B329" s="128" t="s">
        <v>1334</v>
      </c>
      <c r="C329" s="128" t="s">
        <v>1331</v>
      </c>
      <c r="D329" s="129">
        <v>43199</v>
      </c>
      <c r="E329" s="128"/>
      <c r="F329" s="128" t="s">
        <v>1332</v>
      </c>
      <c r="G329" s="524" t="s">
        <v>125</v>
      </c>
      <c r="H329" s="525"/>
      <c r="I329" s="526"/>
      <c r="J329" s="130" t="s">
        <v>98</v>
      </c>
      <c r="K329" s="130" t="s">
        <v>28</v>
      </c>
      <c r="L329" s="130"/>
      <c r="M329" s="65">
        <v>522</v>
      </c>
    </row>
    <row r="330" spans="1:13" s="152" customFormat="1" ht="23.25" thickBot="1">
      <c r="A330" s="521"/>
      <c r="B330" s="153" t="s">
        <v>29</v>
      </c>
      <c r="C330" s="153" t="s">
        <v>30</v>
      </c>
      <c r="D330" s="153" t="s">
        <v>31</v>
      </c>
      <c r="E330" s="527" t="s">
        <v>32</v>
      </c>
      <c r="F330" s="527"/>
      <c r="G330" s="529"/>
      <c r="H330" s="530"/>
      <c r="I330" s="531"/>
      <c r="J330" s="131" t="s">
        <v>127</v>
      </c>
      <c r="K330" s="132" t="s">
        <v>28</v>
      </c>
      <c r="L330" s="132"/>
      <c r="M330" s="66">
        <v>45</v>
      </c>
    </row>
    <row r="331" spans="1:13" s="152" customFormat="1" ht="15.75" thickBot="1">
      <c r="A331" s="522"/>
      <c r="B331" s="133" t="s">
        <v>101</v>
      </c>
      <c r="C331" s="133" t="s">
        <v>125</v>
      </c>
      <c r="D331" s="144">
        <v>43568</v>
      </c>
      <c r="E331" s="135" t="s">
        <v>36</v>
      </c>
      <c r="F331" s="136" t="s">
        <v>1335</v>
      </c>
      <c r="G331" s="539"/>
      <c r="H331" s="540"/>
      <c r="I331" s="541"/>
      <c r="J331" s="131" t="s">
        <v>41</v>
      </c>
      <c r="K331" s="132"/>
      <c r="L331" s="132"/>
      <c r="M331" s="24"/>
    </row>
    <row r="332" spans="1:13" s="152" customFormat="1" ht="24" customHeight="1" thickTop="1" thickBot="1">
      <c r="A332" s="518">
        <f>A331+279</f>
        <v>279</v>
      </c>
      <c r="B332" s="150" t="s">
        <v>19</v>
      </c>
      <c r="C332" s="150" t="s">
        <v>20</v>
      </c>
      <c r="D332" s="150" t="s">
        <v>21</v>
      </c>
      <c r="E332" s="523" t="s">
        <v>22</v>
      </c>
      <c r="F332" s="523"/>
      <c r="G332" s="523" t="s">
        <v>12</v>
      </c>
      <c r="H332" s="528"/>
      <c r="I332" s="164"/>
      <c r="J332" s="126" t="s">
        <v>39</v>
      </c>
      <c r="K332" s="127"/>
      <c r="L332" s="127"/>
      <c r="M332" s="22"/>
    </row>
    <row r="333" spans="1:13" s="152" customFormat="1" ht="34.5" thickBot="1">
      <c r="A333" s="521"/>
      <c r="B333" s="128" t="s">
        <v>1336</v>
      </c>
      <c r="C333" s="128" t="s">
        <v>1337</v>
      </c>
      <c r="D333" s="129">
        <v>43210</v>
      </c>
      <c r="E333" s="128"/>
      <c r="F333" s="128" t="s">
        <v>1338</v>
      </c>
      <c r="G333" s="524" t="s">
        <v>1339</v>
      </c>
      <c r="H333" s="525"/>
      <c r="I333" s="526"/>
      <c r="J333" s="130" t="s">
        <v>108</v>
      </c>
      <c r="K333" s="130" t="s">
        <v>28</v>
      </c>
      <c r="L333" s="130"/>
      <c r="M333" s="65">
        <v>450</v>
      </c>
    </row>
    <row r="334" spans="1:13" s="152" customFormat="1" ht="23.25" thickBot="1">
      <c r="A334" s="521"/>
      <c r="B334" s="153" t="s">
        <v>29</v>
      </c>
      <c r="C334" s="153" t="s">
        <v>30</v>
      </c>
      <c r="D334" s="153" t="s">
        <v>31</v>
      </c>
      <c r="E334" s="527" t="s">
        <v>32</v>
      </c>
      <c r="F334" s="527"/>
      <c r="G334" s="529"/>
      <c r="H334" s="530"/>
      <c r="I334" s="531"/>
      <c r="J334" s="131" t="s">
        <v>98</v>
      </c>
      <c r="K334" s="132" t="s">
        <v>28</v>
      </c>
      <c r="L334" s="132"/>
      <c r="M334" s="68">
        <v>424.9</v>
      </c>
    </row>
    <row r="335" spans="1:13" s="152" customFormat="1" ht="34.5" thickBot="1">
      <c r="A335" s="522"/>
      <c r="B335" s="133" t="s">
        <v>116</v>
      </c>
      <c r="C335" s="133" t="s">
        <v>1340</v>
      </c>
      <c r="D335" s="144">
        <v>43209</v>
      </c>
      <c r="E335" s="135" t="s">
        <v>36</v>
      </c>
      <c r="F335" s="25" t="s">
        <v>1341</v>
      </c>
      <c r="G335" s="539"/>
      <c r="H335" s="540"/>
      <c r="I335" s="541"/>
      <c r="J335" s="131" t="s">
        <v>41</v>
      </c>
      <c r="K335" s="132"/>
      <c r="L335" s="132"/>
      <c r="M335" s="24"/>
    </row>
    <row r="336" spans="1:13" s="152" customFormat="1" ht="24" customHeight="1" thickTop="1" thickBot="1">
      <c r="A336" s="518">
        <f>A335+280</f>
        <v>280</v>
      </c>
      <c r="B336" s="150" t="s">
        <v>19</v>
      </c>
      <c r="C336" s="150" t="s">
        <v>20</v>
      </c>
      <c r="D336" s="150" t="s">
        <v>21</v>
      </c>
      <c r="E336" s="523" t="s">
        <v>22</v>
      </c>
      <c r="F336" s="523"/>
      <c r="G336" s="523" t="s">
        <v>12</v>
      </c>
      <c r="H336" s="528"/>
      <c r="I336" s="164"/>
      <c r="J336" s="126" t="s">
        <v>39</v>
      </c>
      <c r="K336" s="127"/>
      <c r="L336" s="127"/>
      <c r="M336" s="22"/>
    </row>
    <row r="337" spans="1:13" s="152" customFormat="1" ht="79.5" thickBot="1">
      <c r="A337" s="521"/>
      <c r="B337" s="128" t="s">
        <v>1342</v>
      </c>
      <c r="C337" s="128" t="s">
        <v>1343</v>
      </c>
      <c r="D337" s="129">
        <v>43210</v>
      </c>
      <c r="E337" s="128"/>
      <c r="F337" s="128" t="s">
        <v>113</v>
      </c>
      <c r="G337" s="524" t="s">
        <v>114</v>
      </c>
      <c r="H337" s="525"/>
      <c r="I337" s="526"/>
      <c r="J337" s="130" t="s">
        <v>108</v>
      </c>
      <c r="K337" s="130"/>
      <c r="L337" s="130" t="s">
        <v>28</v>
      </c>
      <c r="M337" s="145">
        <v>250</v>
      </c>
    </row>
    <row r="338" spans="1:13" s="152" customFormat="1" ht="45.75" thickBot="1">
      <c r="A338" s="521"/>
      <c r="B338" s="153" t="s">
        <v>29</v>
      </c>
      <c r="C338" s="153" t="s">
        <v>30</v>
      </c>
      <c r="D338" s="153" t="s">
        <v>31</v>
      </c>
      <c r="E338" s="527" t="s">
        <v>32</v>
      </c>
      <c r="F338" s="527"/>
      <c r="G338" s="529"/>
      <c r="H338" s="530"/>
      <c r="I338" s="531"/>
      <c r="J338" s="131" t="s">
        <v>1344</v>
      </c>
      <c r="K338" s="132"/>
      <c r="L338" s="132" t="s">
        <v>28</v>
      </c>
      <c r="M338" s="66" t="s">
        <v>1345</v>
      </c>
    </row>
    <row r="339" spans="1:13" s="152" customFormat="1" ht="23.25" thickBot="1">
      <c r="A339" s="522"/>
      <c r="B339" s="133" t="s">
        <v>116</v>
      </c>
      <c r="C339" s="133" t="s">
        <v>114</v>
      </c>
      <c r="D339" s="144">
        <v>43211</v>
      </c>
      <c r="E339" s="135" t="s">
        <v>36</v>
      </c>
      <c r="F339" s="25" t="s">
        <v>1309</v>
      </c>
      <c r="G339" s="539"/>
      <c r="H339" s="540"/>
      <c r="I339" s="541"/>
      <c r="J339" s="131" t="s">
        <v>38</v>
      </c>
      <c r="K339" s="132"/>
      <c r="L339" s="132" t="s">
        <v>28</v>
      </c>
      <c r="M339" s="66">
        <v>115</v>
      </c>
    </row>
    <row r="340" spans="1:13" s="152" customFormat="1" ht="24" customHeight="1" thickTop="1" thickBot="1">
      <c r="A340" s="518">
        <f>A339+281</f>
        <v>281</v>
      </c>
      <c r="B340" s="150" t="s">
        <v>19</v>
      </c>
      <c r="C340" s="150" t="s">
        <v>20</v>
      </c>
      <c r="D340" s="150" t="s">
        <v>21</v>
      </c>
      <c r="E340" s="523" t="s">
        <v>22</v>
      </c>
      <c r="F340" s="523"/>
      <c r="G340" s="523" t="s">
        <v>12</v>
      </c>
      <c r="H340" s="528"/>
      <c r="I340" s="164"/>
      <c r="J340" s="126" t="s">
        <v>39</v>
      </c>
      <c r="K340" s="127"/>
      <c r="L340" s="127"/>
      <c r="M340" s="22"/>
    </row>
    <row r="341" spans="1:13" s="152" customFormat="1" ht="34.5" thickBot="1">
      <c r="A341" s="521"/>
      <c r="B341" s="128" t="s">
        <v>1346</v>
      </c>
      <c r="C341" s="128" t="s">
        <v>1347</v>
      </c>
      <c r="D341" s="129">
        <v>43205</v>
      </c>
      <c r="E341" s="128"/>
      <c r="F341" s="128" t="s">
        <v>124</v>
      </c>
      <c r="G341" s="524" t="s">
        <v>1348</v>
      </c>
      <c r="H341" s="525"/>
      <c r="I341" s="526"/>
      <c r="J341" s="130" t="s">
        <v>108</v>
      </c>
      <c r="K341" s="130"/>
      <c r="L341" s="130" t="s">
        <v>28</v>
      </c>
      <c r="M341" s="65">
        <v>190</v>
      </c>
    </row>
    <row r="342" spans="1:13" s="152" customFormat="1" ht="34.5" thickBot="1">
      <c r="A342" s="521"/>
      <c r="B342" s="153" t="s">
        <v>29</v>
      </c>
      <c r="C342" s="153" t="s">
        <v>30</v>
      </c>
      <c r="D342" s="153" t="s">
        <v>31</v>
      </c>
      <c r="E342" s="527" t="s">
        <v>32</v>
      </c>
      <c r="F342" s="527"/>
      <c r="G342" s="529"/>
      <c r="H342" s="530"/>
      <c r="I342" s="531"/>
      <c r="J342" s="131" t="s">
        <v>109</v>
      </c>
      <c r="K342" s="132"/>
      <c r="L342" s="132" t="s">
        <v>28</v>
      </c>
      <c r="M342" s="24" t="s">
        <v>1349</v>
      </c>
    </row>
    <row r="343" spans="1:13" s="152" customFormat="1" ht="23.25" thickBot="1">
      <c r="A343" s="522"/>
      <c r="B343" s="133" t="s">
        <v>110</v>
      </c>
      <c r="C343" s="133" t="s">
        <v>1348</v>
      </c>
      <c r="D343" s="144">
        <v>43206</v>
      </c>
      <c r="E343" s="135" t="s">
        <v>36</v>
      </c>
      <c r="F343" s="25" t="s">
        <v>1350</v>
      </c>
      <c r="G343" s="539"/>
      <c r="H343" s="540"/>
      <c r="I343" s="541"/>
      <c r="J343" s="131" t="s">
        <v>38</v>
      </c>
      <c r="K343" s="132"/>
      <c r="L343" s="132" t="s">
        <v>28</v>
      </c>
      <c r="M343" s="66">
        <v>85</v>
      </c>
    </row>
    <row r="344" spans="1:13" s="152" customFormat="1" ht="24" customHeight="1" thickTop="1" thickBot="1">
      <c r="A344" s="518">
        <f>A339+282</f>
        <v>282</v>
      </c>
      <c r="B344" s="150" t="s">
        <v>19</v>
      </c>
      <c r="C344" s="150" t="s">
        <v>20</v>
      </c>
      <c r="D344" s="150" t="s">
        <v>21</v>
      </c>
      <c r="E344" s="523" t="s">
        <v>22</v>
      </c>
      <c r="F344" s="523"/>
      <c r="G344" s="523" t="s">
        <v>12</v>
      </c>
      <c r="H344" s="528"/>
      <c r="I344" s="164"/>
      <c r="J344" s="126" t="s">
        <v>39</v>
      </c>
      <c r="K344" s="127"/>
      <c r="L344" s="127"/>
      <c r="M344" s="22"/>
    </row>
    <row r="345" spans="1:13" s="152" customFormat="1" ht="34.5" thickBot="1">
      <c r="A345" s="521"/>
      <c r="B345" s="128" t="s">
        <v>1351</v>
      </c>
      <c r="C345" s="128" t="s">
        <v>1352</v>
      </c>
      <c r="D345" s="129">
        <v>43206</v>
      </c>
      <c r="E345" s="128"/>
      <c r="F345" s="128" t="s">
        <v>619</v>
      </c>
      <c r="G345" s="524" t="s">
        <v>1353</v>
      </c>
      <c r="H345" s="525"/>
      <c r="I345" s="526"/>
      <c r="J345" s="130" t="s">
        <v>108</v>
      </c>
      <c r="K345" s="130"/>
      <c r="L345" s="130" t="s">
        <v>28</v>
      </c>
      <c r="M345" s="65">
        <v>438</v>
      </c>
    </row>
    <row r="346" spans="1:13" s="152" customFormat="1" ht="34.5" thickBot="1">
      <c r="A346" s="521"/>
      <c r="B346" s="153" t="s">
        <v>29</v>
      </c>
      <c r="C346" s="153" t="s">
        <v>30</v>
      </c>
      <c r="D346" s="153" t="s">
        <v>31</v>
      </c>
      <c r="E346" s="527" t="s">
        <v>32</v>
      </c>
      <c r="F346" s="527"/>
      <c r="G346" s="529"/>
      <c r="H346" s="530"/>
      <c r="I346" s="531"/>
      <c r="J346" s="131" t="s">
        <v>109</v>
      </c>
      <c r="K346" s="132"/>
      <c r="L346" s="132" t="s">
        <v>28</v>
      </c>
      <c r="M346" s="24" t="s">
        <v>1354</v>
      </c>
    </row>
    <row r="347" spans="1:13" s="152" customFormat="1" ht="23.25" thickBot="1">
      <c r="A347" s="522"/>
      <c r="B347" s="133" t="s">
        <v>110</v>
      </c>
      <c r="C347" s="133" t="s">
        <v>1355</v>
      </c>
      <c r="D347" s="144">
        <v>43208</v>
      </c>
      <c r="E347" s="135" t="s">
        <v>36</v>
      </c>
      <c r="F347" s="25" t="s">
        <v>608</v>
      </c>
      <c r="G347" s="539"/>
      <c r="H347" s="540"/>
      <c r="I347" s="541"/>
      <c r="J347" s="131" t="s">
        <v>38</v>
      </c>
      <c r="K347" s="132"/>
      <c r="L347" s="132" t="s">
        <v>28</v>
      </c>
      <c r="M347" s="66">
        <v>236</v>
      </c>
    </row>
    <row r="348" spans="1:13" s="152" customFormat="1" ht="24" customHeight="1" thickTop="1" thickBot="1">
      <c r="A348" s="518">
        <f>A343+283</f>
        <v>283</v>
      </c>
      <c r="B348" s="150" t="s">
        <v>19</v>
      </c>
      <c r="C348" s="150" t="s">
        <v>20</v>
      </c>
      <c r="D348" s="150" t="s">
        <v>21</v>
      </c>
      <c r="E348" s="523" t="s">
        <v>22</v>
      </c>
      <c r="F348" s="523"/>
      <c r="G348" s="523" t="s">
        <v>12</v>
      </c>
      <c r="H348" s="528"/>
      <c r="I348" s="164"/>
      <c r="J348" s="126" t="s">
        <v>39</v>
      </c>
      <c r="K348" s="127"/>
      <c r="L348" s="127"/>
      <c r="M348" s="22"/>
    </row>
    <row r="349" spans="1:13" s="152" customFormat="1" ht="23.25" thickBot="1">
      <c r="A349" s="521"/>
      <c r="B349" s="128" t="s">
        <v>120</v>
      </c>
      <c r="C349" s="128" t="s">
        <v>1356</v>
      </c>
      <c r="D349" s="129">
        <v>43254</v>
      </c>
      <c r="E349" s="128"/>
      <c r="F349" s="128" t="s">
        <v>1357</v>
      </c>
      <c r="G349" s="524" t="s">
        <v>97</v>
      </c>
      <c r="H349" s="525"/>
      <c r="I349" s="526"/>
      <c r="J349" s="130" t="s">
        <v>108</v>
      </c>
      <c r="K349" s="130"/>
      <c r="L349" s="130" t="s">
        <v>28</v>
      </c>
      <c r="M349" s="65">
        <v>500</v>
      </c>
    </row>
    <row r="350" spans="1:13" s="152" customFormat="1" ht="23.25" thickBot="1">
      <c r="A350" s="521"/>
      <c r="B350" s="153" t="s">
        <v>29</v>
      </c>
      <c r="C350" s="153" t="s">
        <v>30</v>
      </c>
      <c r="D350" s="153" t="s">
        <v>31</v>
      </c>
      <c r="E350" s="527" t="s">
        <v>32</v>
      </c>
      <c r="F350" s="527"/>
      <c r="G350" s="529"/>
      <c r="H350" s="530"/>
      <c r="I350" s="531"/>
      <c r="J350" s="131" t="s">
        <v>98</v>
      </c>
      <c r="K350" s="132" t="s">
        <v>28</v>
      </c>
      <c r="L350" s="132"/>
      <c r="M350" s="66">
        <v>500</v>
      </c>
    </row>
    <row r="351" spans="1:13" s="152" customFormat="1" ht="23.25" thickBot="1">
      <c r="A351" s="522"/>
      <c r="B351" s="133" t="s">
        <v>121</v>
      </c>
      <c r="C351" s="133" t="s">
        <v>1356</v>
      </c>
      <c r="D351" s="144">
        <v>43256</v>
      </c>
      <c r="E351" s="135" t="s">
        <v>36</v>
      </c>
      <c r="F351" s="25" t="s">
        <v>1358</v>
      </c>
      <c r="G351" s="539"/>
      <c r="H351" s="540"/>
      <c r="I351" s="541"/>
      <c r="J351" s="131" t="s">
        <v>38</v>
      </c>
      <c r="K351" s="132" t="s">
        <v>28</v>
      </c>
      <c r="L351" s="132"/>
      <c r="M351" s="66">
        <v>200</v>
      </c>
    </row>
    <row r="352" spans="1:13" s="152" customFormat="1" ht="24" customHeight="1" thickTop="1" thickBot="1">
      <c r="A352" s="518">
        <f>A351+284</f>
        <v>284</v>
      </c>
      <c r="B352" s="150" t="s">
        <v>19</v>
      </c>
      <c r="C352" s="150" t="s">
        <v>20</v>
      </c>
      <c r="D352" s="150" t="s">
        <v>21</v>
      </c>
      <c r="E352" s="523" t="s">
        <v>22</v>
      </c>
      <c r="F352" s="523"/>
      <c r="G352" s="523" t="s">
        <v>12</v>
      </c>
      <c r="H352" s="528"/>
      <c r="I352" s="164"/>
      <c r="J352" s="126" t="s">
        <v>39</v>
      </c>
      <c r="K352" s="127"/>
      <c r="L352" s="127"/>
      <c r="M352" s="22"/>
    </row>
    <row r="353" spans="1:13" s="152" customFormat="1" ht="34.5" thickBot="1">
      <c r="A353" s="521"/>
      <c r="B353" s="128" t="s">
        <v>1359</v>
      </c>
      <c r="C353" s="128" t="s">
        <v>1360</v>
      </c>
      <c r="D353" s="129">
        <v>43289</v>
      </c>
      <c r="E353" s="128"/>
      <c r="F353" s="128" t="s">
        <v>1361</v>
      </c>
      <c r="G353" s="524" t="s">
        <v>1362</v>
      </c>
      <c r="H353" s="525"/>
      <c r="I353" s="526"/>
      <c r="J353" s="130" t="s">
        <v>108</v>
      </c>
      <c r="K353" s="130"/>
      <c r="L353" s="130" t="s">
        <v>28</v>
      </c>
      <c r="M353" s="65">
        <v>500</v>
      </c>
    </row>
    <row r="354" spans="1:13" s="152" customFormat="1" ht="23.25" thickBot="1">
      <c r="A354" s="521"/>
      <c r="B354" s="153" t="s">
        <v>29</v>
      </c>
      <c r="C354" s="153" t="s">
        <v>30</v>
      </c>
      <c r="D354" s="153" t="s">
        <v>31</v>
      </c>
      <c r="E354" s="527" t="s">
        <v>32</v>
      </c>
      <c r="F354" s="527"/>
      <c r="G354" s="529"/>
      <c r="H354" s="530"/>
      <c r="I354" s="531"/>
      <c r="J354" s="131" t="s">
        <v>98</v>
      </c>
      <c r="K354" s="132"/>
      <c r="L354" s="132" t="s">
        <v>28</v>
      </c>
      <c r="M354" s="66">
        <v>500</v>
      </c>
    </row>
    <row r="355" spans="1:13" s="152" customFormat="1" ht="45.75" thickBot="1">
      <c r="A355" s="522"/>
      <c r="B355" s="133" t="s">
        <v>116</v>
      </c>
      <c r="C355" s="133" t="s">
        <v>1362</v>
      </c>
      <c r="D355" s="144">
        <v>43303</v>
      </c>
      <c r="E355" s="135" t="s">
        <v>36</v>
      </c>
      <c r="F355" s="25" t="s">
        <v>1363</v>
      </c>
      <c r="G355" s="539"/>
      <c r="H355" s="540"/>
      <c r="I355" s="541"/>
      <c r="J355" s="131" t="s">
        <v>38</v>
      </c>
      <c r="K355" s="132"/>
      <c r="L355" s="132" t="s">
        <v>28</v>
      </c>
      <c r="M355" s="66">
        <v>500</v>
      </c>
    </row>
    <row r="356" spans="1:13" s="152" customFormat="1" ht="24" customHeight="1" thickTop="1" thickBot="1">
      <c r="A356" s="518">
        <f>A355+285</f>
        <v>285</v>
      </c>
      <c r="B356" s="150" t="s">
        <v>19</v>
      </c>
      <c r="C356" s="150" t="s">
        <v>20</v>
      </c>
      <c r="D356" s="150" t="s">
        <v>21</v>
      </c>
      <c r="E356" s="523" t="s">
        <v>22</v>
      </c>
      <c r="F356" s="523"/>
      <c r="G356" s="523" t="s">
        <v>12</v>
      </c>
      <c r="H356" s="528"/>
      <c r="I356" s="164"/>
      <c r="J356" s="126" t="s">
        <v>39</v>
      </c>
      <c r="K356" s="127"/>
      <c r="L356" s="127"/>
      <c r="M356" s="22"/>
    </row>
    <row r="357" spans="1:13" s="152" customFormat="1" ht="23.25" thickBot="1">
      <c r="A357" s="521"/>
      <c r="B357" s="128" t="s">
        <v>1364</v>
      </c>
      <c r="C357" s="128" t="s">
        <v>1365</v>
      </c>
      <c r="D357" s="129">
        <v>43299</v>
      </c>
      <c r="E357" s="128"/>
      <c r="F357" s="128" t="s">
        <v>1366</v>
      </c>
      <c r="G357" s="524" t="s">
        <v>1367</v>
      </c>
      <c r="H357" s="525"/>
      <c r="I357" s="526"/>
      <c r="J357" s="130" t="s">
        <v>108</v>
      </c>
      <c r="K357" s="130"/>
      <c r="L357" s="130" t="s">
        <v>28</v>
      </c>
      <c r="M357" s="65">
        <v>150</v>
      </c>
    </row>
    <row r="358" spans="1:13" s="152" customFormat="1" ht="23.25" thickBot="1">
      <c r="A358" s="521"/>
      <c r="B358" s="153" t="s">
        <v>29</v>
      </c>
      <c r="C358" s="153" t="s">
        <v>30</v>
      </c>
      <c r="D358" s="153" t="s">
        <v>31</v>
      </c>
      <c r="E358" s="527" t="s">
        <v>32</v>
      </c>
      <c r="F358" s="527"/>
      <c r="G358" s="529"/>
      <c r="H358" s="530"/>
      <c r="I358" s="531"/>
      <c r="J358" s="131" t="s">
        <v>1368</v>
      </c>
      <c r="K358" s="132"/>
      <c r="L358" s="132" t="s">
        <v>28</v>
      </c>
      <c r="M358" s="66">
        <v>1125</v>
      </c>
    </row>
    <row r="359" spans="1:13" s="152" customFormat="1" ht="23.25" thickBot="1">
      <c r="A359" s="522"/>
      <c r="B359" s="133" t="s">
        <v>101</v>
      </c>
      <c r="C359" s="133" t="s">
        <v>1367</v>
      </c>
      <c r="D359" s="136">
        <v>43302</v>
      </c>
      <c r="E359" s="135" t="s">
        <v>36</v>
      </c>
      <c r="F359" s="77" t="s">
        <v>1369</v>
      </c>
      <c r="G359" s="539"/>
      <c r="H359" s="540"/>
      <c r="I359" s="541"/>
      <c r="J359" s="131" t="s">
        <v>41</v>
      </c>
      <c r="K359" s="132"/>
      <c r="L359" s="132"/>
      <c r="M359" s="24"/>
    </row>
    <row r="360" spans="1:13" s="152" customFormat="1" ht="24" customHeight="1" thickTop="1" thickBot="1">
      <c r="A360" s="518">
        <f>A359+286</f>
        <v>286</v>
      </c>
      <c r="B360" s="150" t="s">
        <v>19</v>
      </c>
      <c r="C360" s="150" t="s">
        <v>20</v>
      </c>
      <c r="D360" s="150" t="s">
        <v>21</v>
      </c>
      <c r="E360" s="523" t="s">
        <v>22</v>
      </c>
      <c r="F360" s="523"/>
      <c r="G360" s="523" t="s">
        <v>12</v>
      </c>
      <c r="H360" s="528"/>
      <c r="I360" s="164"/>
      <c r="J360" s="126" t="s">
        <v>39</v>
      </c>
      <c r="K360" s="127"/>
      <c r="L360" s="127"/>
      <c r="M360" s="22"/>
    </row>
    <row r="361" spans="1:13" s="152" customFormat="1" ht="23.25" thickBot="1">
      <c r="A361" s="521"/>
      <c r="B361" s="128" t="s">
        <v>1370</v>
      </c>
      <c r="C361" s="128" t="s">
        <v>1365</v>
      </c>
      <c r="D361" s="129">
        <v>43299</v>
      </c>
      <c r="E361" s="128"/>
      <c r="F361" s="128" t="s">
        <v>1366</v>
      </c>
      <c r="G361" s="524" t="s">
        <v>1367</v>
      </c>
      <c r="H361" s="525"/>
      <c r="I361" s="526"/>
      <c r="J361" s="130" t="s">
        <v>108</v>
      </c>
      <c r="K361" s="130"/>
      <c r="L361" s="130" t="s">
        <v>28</v>
      </c>
      <c r="M361" s="65">
        <v>150</v>
      </c>
    </row>
    <row r="362" spans="1:13" s="152" customFormat="1" ht="23.25" thickBot="1">
      <c r="A362" s="521"/>
      <c r="B362" s="153" t="s">
        <v>29</v>
      </c>
      <c r="C362" s="153" t="s">
        <v>30</v>
      </c>
      <c r="D362" s="153" t="s">
        <v>31</v>
      </c>
      <c r="E362" s="527" t="s">
        <v>32</v>
      </c>
      <c r="F362" s="527"/>
      <c r="G362" s="529"/>
      <c r="H362" s="530"/>
      <c r="I362" s="531"/>
      <c r="J362" s="131" t="s">
        <v>1368</v>
      </c>
      <c r="K362" s="132"/>
      <c r="L362" s="132" t="s">
        <v>28</v>
      </c>
      <c r="M362" s="66">
        <v>1125</v>
      </c>
    </row>
    <row r="363" spans="1:13" s="152" customFormat="1" ht="23.25" thickBot="1">
      <c r="A363" s="522"/>
      <c r="B363" s="133" t="s">
        <v>101</v>
      </c>
      <c r="C363" s="133" t="s">
        <v>1367</v>
      </c>
      <c r="D363" s="144">
        <v>43303</v>
      </c>
      <c r="E363" s="135" t="s">
        <v>36</v>
      </c>
      <c r="F363" s="25" t="s">
        <v>1369</v>
      </c>
      <c r="G363" s="539"/>
      <c r="H363" s="540"/>
      <c r="I363" s="541"/>
      <c r="J363" s="131" t="s">
        <v>41</v>
      </c>
      <c r="K363" s="132"/>
      <c r="L363" s="132"/>
      <c r="M363" s="24"/>
    </row>
    <row r="364" spans="1:13" s="152" customFormat="1" ht="24" customHeight="1" thickTop="1" thickBot="1">
      <c r="A364" s="518">
        <f>A363+287</f>
        <v>287</v>
      </c>
      <c r="B364" s="150" t="s">
        <v>19</v>
      </c>
      <c r="C364" s="150" t="s">
        <v>20</v>
      </c>
      <c r="D364" s="150" t="s">
        <v>21</v>
      </c>
      <c r="E364" s="523" t="s">
        <v>22</v>
      </c>
      <c r="F364" s="523"/>
      <c r="G364" s="523" t="s">
        <v>12</v>
      </c>
      <c r="H364" s="528"/>
      <c r="I364" s="164"/>
      <c r="J364" s="126" t="s">
        <v>39</v>
      </c>
      <c r="K364" s="127"/>
      <c r="L364" s="127"/>
      <c r="M364" s="22"/>
    </row>
    <row r="365" spans="1:13" s="152" customFormat="1" ht="23.25" thickBot="1">
      <c r="A365" s="521"/>
      <c r="B365" s="128" t="s">
        <v>1371</v>
      </c>
      <c r="C365" s="128" t="s">
        <v>1365</v>
      </c>
      <c r="D365" s="129">
        <v>43299</v>
      </c>
      <c r="E365" s="128"/>
      <c r="F365" s="128" t="s">
        <v>1366</v>
      </c>
      <c r="G365" s="524" t="s">
        <v>1367</v>
      </c>
      <c r="H365" s="525"/>
      <c r="I365" s="526"/>
      <c r="J365" s="130" t="s">
        <v>108</v>
      </c>
      <c r="K365" s="130"/>
      <c r="L365" s="130" t="s">
        <v>28</v>
      </c>
      <c r="M365" s="65">
        <v>150</v>
      </c>
    </row>
    <row r="366" spans="1:13" s="152" customFormat="1" ht="23.25" thickBot="1">
      <c r="A366" s="521"/>
      <c r="B366" s="153" t="s">
        <v>29</v>
      </c>
      <c r="C366" s="153" t="s">
        <v>30</v>
      </c>
      <c r="D366" s="153" t="s">
        <v>31</v>
      </c>
      <c r="E366" s="527" t="s">
        <v>32</v>
      </c>
      <c r="F366" s="527"/>
      <c r="G366" s="529"/>
      <c r="H366" s="530"/>
      <c r="I366" s="531"/>
      <c r="J366" s="131" t="s">
        <v>1368</v>
      </c>
      <c r="K366" s="132"/>
      <c r="L366" s="132" t="s">
        <v>28</v>
      </c>
      <c r="M366" s="66">
        <v>1125</v>
      </c>
    </row>
    <row r="367" spans="1:13" s="152" customFormat="1" ht="23.25" thickBot="1">
      <c r="A367" s="522"/>
      <c r="B367" s="133" t="s">
        <v>101</v>
      </c>
      <c r="C367" s="133" t="s">
        <v>1367</v>
      </c>
      <c r="D367" s="144">
        <v>43303</v>
      </c>
      <c r="E367" s="135" t="s">
        <v>36</v>
      </c>
      <c r="F367" s="25" t="s">
        <v>1369</v>
      </c>
      <c r="G367" s="539"/>
      <c r="H367" s="540"/>
      <c r="I367" s="541"/>
      <c r="J367" s="131" t="s">
        <v>41</v>
      </c>
      <c r="K367" s="132"/>
      <c r="L367" s="132"/>
      <c r="M367" s="24"/>
    </row>
    <row r="368" spans="1:13" s="152" customFormat="1" ht="24" customHeight="1" thickTop="1" thickBot="1">
      <c r="A368" s="518">
        <f>A367+288</f>
        <v>288</v>
      </c>
      <c r="B368" s="150" t="s">
        <v>19</v>
      </c>
      <c r="C368" s="150" t="s">
        <v>20</v>
      </c>
      <c r="D368" s="150" t="s">
        <v>21</v>
      </c>
      <c r="E368" s="523" t="s">
        <v>22</v>
      </c>
      <c r="F368" s="523"/>
      <c r="G368" s="523" t="s">
        <v>12</v>
      </c>
      <c r="H368" s="528"/>
      <c r="I368" s="164"/>
      <c r="J368" s="126" t="s">
        <v>39</v>
      </c>
      <c r="K368" s="127"/>
      <c r="L368" s="127"/>
      <c r="M368" s="22"/>
    </row>
    <row r="369" spans="1:13" s="152" customFormat="1" ht="23.25" thickBot="1">
      <c r="A369" s="521"/>
      <c r="B369" s="128" t="s">
        <v>1372</v>
      </c>
      <c r="C369" s="128" t="s">
        <v>1365</v>
      </c>
      <c r="D369" s="129">
        <v>43299</v>
      </c>
      <c r="E369" s="128"/>
      <c r="F369" s="128" t="s">
        <v>1366</v>
      </c>
      <c r="G369" s="524" t="s">
        <v>1367</v>
      </c>
      <c r="H369" s="525"/>
      <c r="I369" s="526"/>
      <c r="J369" s="130" t="s">
        <v>108</v>
      </c>
      <c r="K369" s="130"/>
      <c r="L369" s="130" t="s">
        <v>28</v>
      </c>
      <c r="M369" s="65">
        <v>150</v>
      </c>
    </row>
    <row r="370" spans="1:13" s="152" customFormat="1" ht="23.25" thickBot="1">
      <c r="A370" s="521"/>
      <c r="B370" s="153" t="s">
        <v>29</v>
      </c>
      <c r="C370" s="153" t="s">
        <v>30</v>
      </c>
      <c r="D370" s="153" t="s">
        <v>31</v>
      </c>
      <c r="E370" s="527" t="s">
        <v>32</v>
      </c>
      <c r="F370" s="527"/>
      <c r="G370" s="529"/>
      <c r="H370" s="530"/>
      <c r="I370" s="531"/>
      <c r="J370" s="131" t="s">
        <v>1368</v>
      </c>
      <c r="K370" s="132"/>
      <c r="L370" s="132" t="s">
        <v>28</v>
      </c>
      <c r="M370" s="66">
        <v>1125</v>
      </c>
    </row>
    <row r="371" spans="1:13" s="152" customFormat="1" ht="23.25" thickBot="1">
      <c r="A371" s="522"/>
      <c r="B371" s="133" t="s">
        <v>101</v>
      </c>
      <c r="C371" s="133" t="s">
        <v>1367</v>
      </c>
      <c r="D371" s="144">
        <v>43303</v>
      </c>
      <c r="E371" s="135" t="s">
        <v>36</v>
      </c>
      <c r="F371" s="25" t="s">
        <v>1373</v>
      </c>
      <c r="G371" s="539"/>
      <c r="H371" s="540"/>
      <c r="I371" s="541"/>
      <c r="J371" s="131" t="s">
        <v>41</v>
      </c>
      <c r="K371" s="132"/>
      <c r="L371" s="132"/>
      <c r="M371" s="24"/>
    </row>
    <row r="372" spans="1:13" s="152" customFormat="1" ht="24" customHeight="1" thickTop="1" thickBot="1">
      <c r="A372" s="518">
        <f>A371+289</f>
        <v>289</v>
      </c>
      <c r="B372" s="150" t="s">
        <v>19</v>
      </c>
      <c r="C372" s="150" t="s">
        <v>20</v>
      </c>
      <c r="D372" s="150" t="s">
        <v>21</v>
      </c>
      <c r="E372" s="523" t="s">
        <v>22</v>
      </c>
      <c r="F372" s="523"/>
      <c r="G372" s="523" t="s">
        <v>12</v>
      </c>
      <c r="H372" s="528"/>
      <c r="I372" s="164"/>
      <c r="J372" s="126" t="s">
        <v>39</v>
      </c>
      <c r="K372" s="127"/>
      <c r="L372" s="127"/>
      <c r="M372" s="22"/>
    </row>
    <row r="373" spans="1:13" s="152" customFormat="1" ht="90.75" thickBot="1">
      <c r="A373" s="521"/>
      <c r="B373" s="128" t="s">
        <v>1374</v>
      </c>
      <c r="C373" s="128" t="s">
        <v>1375</v>
      </c>
      <c r="D373" s="129">
        <v>43329</v>
      </c>
      <c r="E373" s="128"/>
      <c r="F373" s="128" t="s">
        <v>226</v>
      </c>
      <c r="G373" s="524" t="s">
        <v>876</v>
      </c>
      <c r="H373" s="525"/>
      <c r="I373" s="526"/>
      <c r="J373" s="130" t="s">
        <v>108</v>
      </c>
      <c r="K373" s="130"/>
      <c r="L373" s="130" t="s">
        <v>28</v>
      </c>
      <c r="M373" s="65">
        <v>268</v>
      </c>
    </row>
    <row r="374" spans="1:13" s="152" customFormat="1" ht="23.25" thickBot="1">
      <c r="A374" s="521"/>
      <c r="B374" s="153" t="s">
        <v>29</v>
      </c>
      <c r="C374" s="153" t="s">
        <v>30</v>
      </c>
      <c r="D374" s="153" t="s">
        <v>31</v>
      </c>
      <c r="E374" s="527" t="s">
        <v>32</v>
      </c>
      <c r="F374" s="527"/>
      <c r="G374" s="529"/>
      <c r="H374" s="530"/>
      <c r="I374" s="531"/>
      <c r="J374" s="131" t="s">
        <v>98</v>
      </c>
      <c r="K374" s="132"/>
      <c r="L374" s="132" t="s">
        <v>28</v>
      </c>
      <c r="M374" s="66">
        <v>600</v>
      </c>
    </row>
    <row r="375" spans="1:13" s="152" customFormat="1" ht="23.25" thickBot="1">
      <c r="A375" s="522"/>
      <c r="B375" s="133" t="s">
        <v>115</v>
      </c>
      <c r="C375" s="133" t="s">
        <v>1195</v>
      </c>
      <c r="D375" s="144">
        <v>43331</v>
      </c>
      <c r="E375" s="135" t="s">
        <v>36</v>
      </c>
      <c r="F375" s="25" t="s">
        <v>1376</v>
      </c>
      <c r="G375" s="539"/>
      <c r="H375" s="540"/>
      <c r="I375" s="541"/>
      <c r="J375" s="131" t="s">
        <v>41</v>
      </c>
      <c r="K375" s="132"/>
      <c r="L375" s="132"/>
      <c r="M375" s="24"/>
    </row>
    <row r="376" spans="1:13" s="152" customFormat="1" ht="24" customHeight="1" thickTop="1" thickBot="1">
      <c r="A376" s="518">
        <f>A371+290</f>
        <v>290</v>
      </c>
      <c r="B376" s="150" t="s">
        <v>19</v>
      </c>
      <c r="C376" s="150" t="s">
        <v>20</v>
      </c>
      <c r="D376" s="150" t="s">
        <v>21</v>
      </c>
      <c r="E376" s="523" t="s">
        <v>22</v>
      </c>
      <c r="F376" s="523"/>
      <c r="G376" s="523" t="s">
        <v>12</v>
      </c>
      <c r="H376" s="528"/>
      <c r="I376" s="164"/>
      <c r="J376" s="126" t="s">
        <v>39</v>
      </c>
      <c r="K376" s="127"/>
      <c r="L376" s="127"/>
      <c r="M376" s="22"/>
    </row>
    <row r="377" spans="1:13" s="152" customFormat="1" ht="45.75" thickBot="1">
      <c r="A377" s="521"/>
      <c r="B377" s="128" t="s">
        <v>1377</v>
      </c>
      <c r="C377" s="128" t="s">
        <v>1378</v>
      </c>
      <c r="D377" s="129">
        <v>43319</v>
      </c>
      <c r="E377" s="128"/>
      <c r="F377" s="128" t="s">
        <v>1379</v>
      </c>
      <c r="G377" s="524" t="s">
        <v>1380</v>
      </c>
      <c r="H377" s="525"/>
      <c r="I377" s="526"/>
      <c r="J377" s="130" t="s">
        <v>108</v>
      </c>
      <c r="K377" s="130" t="s">
        <v>28</v>
      </c>
      <c r="L377" s="130"/>
      <c r="M377" s="65">
        <v>973</v>
      </c>
    </row>
    <row r="378" spans="1:13" s="152" customFormat="1" ht="34.5" thickBot="1">
      <c r="A378" s="521"/>
      <c r="B378" s="153" t="s">
        <v>29</v>
      </c>
      <c r="C378" s="153" t="s">
        <v>30</v>
      </c>
      <c r="D378" s="153" t="s">
        <v>31</v>
      </c>
      <c r="E378" s="527" t="s">
        <v>32</v>
      </c>
      <c r="F378" s="527"/>
      <c r="G378" s="529"/>
      <c r="H378" s="530"/>
      <c r="I378" s="531"/>
      <c r="J378" s="131" t="s">
        <v>109</v>
      </c>
      <c r="K378" s="132" t="s">
        <v>28</v>
      </c>
      <c r="L378" s="132"/>
      <c r="M378" s="24" t="s">
        <v>1381</v>
      </c>
    </row>
    <row r="379" spans="1:13" s="152" customFormat="1" ht="23.25" thickBot="1">
      <c r="A379" s="522"/>
      <c r="B379" s="133" t="s">
        <v>102</v>
      </c>
      <c r="C379" s="133" t="s">
        <v>1382</v>
      </c>
      <c r="D379" s="144">
        <v>43325</v>
      </c>
      <c r="E379" s="135" t="s">
        <v>36</v>
      </c>
      <c r="F379" s="25" t="s">
        <v>1383</v>
      </c>
      <c r="G379" s="539"/>
      <c r="H379" s="540"/>
      <c r="I379" s="541"/>
      <c r="J379" s="131" t="s">
        <v>38</v>
      </c>
      <c r="K379" s="132" t="s">
        <v>28</v>
      </c>
      <c r="L379" s="132"/>
      <c r="M379" s="66">
        <v>180</v>
      </c>
    </row>
    <row r="380" spans="1:13" s="152" customFormat="1" ht="24" customHeight="1" thickTop="1" thickBot="1">
      <c r="A380" s="518">
        <f>A375+291</f>
        <v>291</v>
      </c>
      <c r="B380" s="150" t="s">
        <v>19</v>
      </c>
      <c r="C380" s="150" t="s">
        <v>20</v>
      </c>
      <c r="D380" s="150" t="s">
        <v>21</v>
      </c>
      <c r="E380" s="523" t="s">
        <v>22</v>
      </c>
      <c r="F380" s="523"/>
      <c r="G380" s="523" t="s">
        <v>12</v>
      </c>
      <c r="H380" s="528"/>
      <c r="I380" s="164"/>
      <c r="J380" s="126" t="s">
        <v>39</v>
      </c>
      <c r="K380" s="127"/>
      <c r="L380" s="127"/>
      <c r="M380" s="22"/>
    </row>
    <row r="381" spans="1:13" s="152" customFormat="1" ht="15.75" thickBot="1">
      <c r="A381" s="521"/>
      <c r="B381" s="128"/>
      <c r="C381" s="128"/>
      <c r="D381" s="129"/>
      <c r="E381" s="128"/>
      <c r="F381" s="128"/>
      <c r="G381" s="524"/>
      <c r="H381" s="525"/>
      <c r="I381" s="526"/>
      <c r="J381" s="130"/>
      <c r="K381" s="130"/>
      <c r="L381" s="130"/>
      <c r="M381" s="65"/>
    </row>
    <row r="382" spans="1:13" s="152" customFormat="1" ht="23.25" thickBot="1">
      <c r="A382" s="521"/>
      <c r="B382" s="153" t="s">
        <v>29</v>
      </c>
      <c r="C382" s="153" t="s">
        <v>30</v>
      </c>
      <c r="D382" s="153" t="s">
        <v>31</v>
      </c>
      <c r="E382" s="527" t="s">
        <v>32</v>
      </c>
      <c r="F382" s="527"/>
      <c r="G382" s="529"/>
      <c r="H382" s="530"/>
      <c r="I382" s="531"/>
      <c r="J382" s="131"/>
      <c r="K382" s="132"/>
      <c r="L382" s="132"/>
      <c r="M382" s="66"/>
    </row>
    <row r="383" spans="1:13" s="152" customFormat="1" ht="15.75" thickBot="1">
      <c r="A383" s="522"/>
      <c r="B383" s="133"/>
      <c r="C383" s="133"/>
      <c r="D383" s="144"/>
      <c r="E383" s="135" t="s">
        <v>36</v>
      </c>
      <c r="F383" s="25"/>
      <c r="G383" s="539"/>
      <c r="H383" s="540"/>
      <c r="I383" s="541"/>
      <c r="J383" s="131"/>
      <c r="K383" s="132"/>
      <c r="L383" s="132"/>
      <c r="M383" s="66"/>
    </row>
    <row r="384" spans="1:13" s="152" customFormat="1" ht="24" customHeight="1" thickTop="1" thickBot="1">
      <c r="A384" s="518">
        <f>A379+292</f>
        <v>292</v>
      </c>
      <c r="B384" s="150" t="s">
        <v>19</v>
      </c>
      <c r="C384" s="150" t="s">
        <v>20</v>
      </c>
      <c r="D384" s="150" t="s">
        <v>21</v>
      </c>
      <c r="E384" s="523" t="s">
        <v>22</v>
      </c>
      <c r="F384" s="523"/>
      <c r="G384" s="523" t="s">
        <v>12</v>
      </c>
      <c r="H384" s="528"/>
      <c r="I384" s="164"/>
      <c r="J384" s="126" t="s">
        <v>39</v>
      </c>
      <c r="K384" s="127"/>
      <c r="L384" s="127"/>
      <c r="M384" s="22"/>
    </row>
    <row r="385" spans="1:13" s="152" customFormat="1" ht="34.5" thickBot="1">
      <c r="A385" s="521"/>
      <c r="B385" s="128" t="s">
        <v>1384</v>
      </c>
      <c r="C385" s="128" t="s">
        <v>1385</v>
      </c>
      <c r="D385" s="129">
        <v>43272</v>
      </c>
      <c r="E385" s="128"/>
      <c r="F385" s="128" t="s">
        <v>216</v>
      </c>
      <c r="G385" s="524" t="s">
        <v>1386</v>
      </c>
      <c r="H385" s="525"/>
      <c r="I385" s="526"/>
      <c r="J385" s="130" t="s">
        <v>108</v>
      </c>
      <c r="K385" s="130"/>
      <c r="L385" s="130" t="s">
        <v>28</v>
      </c>
      <c r="M385" s="65">
        <v>250</v>
      </c>
    </row>
    <row r="386" spans="1:13" s="152" customFormat="1" ht="23.25" thickBot="1">
      <c r="A386" s="521"/>
      <c r="B386" s="153" t="s">
        <v>29</v>
      </c>
      <c r="C386" s="153" t="s">
        <v>30</v>
      </c>
      <c r="D386" s="153" t="s">
        <v>31</v>
      </c>
      <c r="E386" s="527" t="s">
        <v>32</v>
      </c>
      <c r="F386" s="527"/>
      <c r="G386" s="529"/>
      <c r="H386" s="530"/>
      <c r="I386" s="531"/>
      <c r="J386" s="131" t="s">
        <v>98</v>
      </c>
      <c r="K386" s="132"/>
      <c r="L386" s="132" t="s">
        <v>28</v>
      </c>
      <c r="M386" s="66">
        <v>325</v>
      </c>
    </row>
    <row r="387" spans="1:13" s="152" customFormat="1" ht="23.25" thickBot="1">
      <c r="A387" s="522"/>
      <c r="B387" s="133" t="s">
        <v>101</v>
      </c>
      <c r="C387" s="133" t="s">
        <v>1387</v>
      </c>
      <c r="D387" s="144">
        <v>43272</v>
      </c>
      <c r="E387" s="135" t="s">
        <v>36</v>
      </c>
      <c r="F387" s="25" t="s">
        <v>1388</v>
      </c>
      <c r="G387" s="539"/>
      <c r="H387" s="540"/>
      <c r="I387" s="541"/>
      <c r="J387" s="131" t="s">
        <v>38</v>
      </c>
      <c r="K387" s="132"/>
      <c r="L387" s="132" t="s">
        <v>28</v>
      </c>
      <c r="M387" s="66">
        <v>180</v>
      </c>
    </row>
    <row r="388" spans="1:13" s="152" customFormat="1" ht="24" customHeight="1" thickTop="1" thickBot="1">
      <c r="A388" s="518">
        <f>A387+293</f>
        <v>293</v>
      </c>
      <c r="B388" s="150" t="s">
        <v>19</v>
      </c>
      <c r="C388" s="150" t="s">
        <v>20</v>
      </c>
      <c r="D388" s="150" t="s">
        <v>21</v>
      </c>
      <c r="E388" s="523" t="s">
        <v>22</v>
      </c>
      <c r="F388" s="523"/>
      <c r="G388" s="523" t="s">
        <v>12</v>
      </c>
      <c r="H388" s="528"/>
      <c r="I388" s="164"/>
      <c r="J388" s="126" t="s">
        <v>39</v>
      </c>
      <c r="K388" s="127"/>
      <c r="L388" s="127"/>
      <c r="M388" s="22"/>
    </row>
    <row r="389" spans="1:13" s="152" customFormat="1" ht="15.75" thickBot="1">
      <c r="A389" s="521"/>
      <c r="B389" s="128"/>
      <c r="C389" s="128"/>
      <c r="D389" s="129"/>
      <c r="E389" s="128"/>
      <c r="F389" s="128"/>
      <c r="G389" s="524"/>
      <c r="H389" s="525"/>
      <c r="I389" s="526"/>
      <c r="J389" s="130"/>
      <c r="K389" s="130"/>
      <c r="L389" s="130"/>
      <c r="M389" s="65"/>
    </row>
    <row r="390" spans="1:13" s="152" customFormat="1" ht="23.25" thickBot="1">
      <c r="A390" s="521"/>
      <c r="B390" s="153" t="s">
        <v>29</v>
      </c>
      <c r="C390" s="153" t="s">
        <v>30</v>
      </c>
      <c r="D390" s="153" t="s">
        <v>31</v>
      </c>
      <c r="E390" s="527" t="s">
        <v>32</v>
      </c>
      <c r="F390" s="527"/>
      <c r="G390" s="529"/>
      <c r="H390" s="530"/>
      <c r="I390" s="531"/>
      <c r="J390" s="131"/>
      <c r="K390" s="132"/>
      <c r="L390" s="132"/>
      <c r="M390" s="66"/>
    </row>
    <row r="391" spans="1:13" s="152" customFormat="1" ht="15.75" thickBot="1">
      <c r="A391" s="522"/>
      <c r="B391" s="133"/>
      <c r="C391" s="133"/>
      <c r="D391" s="144"/>
      <c r="E391" s="135" t="s">
        <v>36</v>
      </c>
      <c r="F391" s="25"/>
      <c r="G391" s="539"/>
      <c r="H391" s="540"/>
      <c r="I391" s="541"/>
      <c r="J391" s="131" t="s">
        <v>41</v>
      </c>
      <c r="K391" s="132"/>
      <c r="L391" s="132"/>
      <c r="M391" s="24"/>
    </row>
    <row r="392" spans="1:13" s="152" customFormat="1" ht="24" customHeight="1" thickTop="1" thickBot="1">
      <c r="A392" s="518">
        <f>A391+294</f>
        <v>294</v>
      </c>
      <c r="B392" s="150" t="s">
        <v>19</v>
      </c>
      <c r="C392" s="150" t="s">
        <v>20</v>
      </c>
      <c r="D392" s="150" t="s">
        <v>21</v>
      </c>
      <c r="E392" s="523" t="s">
        <v>22</v>
      </c>
      <c r="F392" s="523"/>
      <c r="G392" s="523" t="s">
        <v>12</v>
      </c>
      <c r="H392" s="528"/>
      <c r="I392" s="164"/>
      <c r="J392" s="126" t="s">
        <v>39</v>
      </c>
      <c r="K392" s="127"/>
      <c r="L392" s="127"/>
      <c r="M392" s="22"/>
    </row>
    <row r="393" spans="1:13" s="152" customFormat="1" ht="23.25" thickBot="1">
      <c r="A393" s="521"/>
      <c r="B393" s="128" t="s">
        <v>1389</v>
      </c>
      <c r="C393" s="128" t="s">
        <v>1390</v>
      </c>
      <c r="D393" s="129">
        <v>43261</v>
      </c>
      <c r="E393" s="128"/>
      <c r="F393" s="128" t="s">
        <v>1391</v>
      </c>
      <c r="G393" s="524" t="s">
        <v>1367</v>
      </c>
      <c r="H393" s="525"/>
      <c r="I393" s="526"/>
      <c r="J393" s="130" t="s">
        <v>108</v>
      </c>
      <c r="K393" s="130"/>
      <c r="L393" s="130" t="s">
        <v>28</v>
      </c>
      <c r="M393" s="65">
        <v>750</v>
      </c>
    </row>
    <row r="394" spans="1:13" s="152" customFormat="1" ht="23.25" thickBot="1">
      <c r="A394" s="521"/>
      <c r="B394" s="153" t="s">
        <v>29</v>
      </c>
      <c r="C394" s="153" t="s">
        <v>30</v>
      </c>
      <c r="D394" s="153" t="s">
        <v>31</v>
      </c>
      <c r="E394" s="527" t="s">
        <v>32</v>
      </c>
      <c r="F394" s="527"/>
      <c r="G394" s="529"/>
      <c r="H394" s="530"/>
      <c r="I394" s="531"/>
      <c r="J394" s="131" t="s">
        <v>38</v>
      </c>
      <c r="K394" s="132"/>
      <c r="L394" s="132" t="s">
        <v>28</v>
      </c>
      <c r="M394" s="66">
        <v>200</v>
      </c>
    </row>
    <row r="395" spans="1:13" s="152" customFormat="1" ht="23.25" thickBot="1">
      <c r="A395" s="522"/>
      <c r="B395" s="133" t="s">
        <v>130</v>
      </c>
      <c r="C395" s="133" t="s">
        <v>1367</v>
      </c>
      <c r="D395" s="144">
        <v>43264</v>
      </c>
      <c r="E395" s="135" t="s">
        <v>36</v>
      </c>
      <c r="F395" s="25" t="s">
        <v>1392</v>
      </c>
      <c r="G395" s="539"/>
      <c r="H395" s="540"/>
      <c r="I395" s="541"/>
      <c r="J395" s="131" t="s">
        <v>41</v>
      </c>
      <c r="K395" s="132"/>
      <c r="L395" s="132"/>
      <c r="M395" s="24"/>
    </row>
    <row r="396" spans="1:13" s="152" customFormat="1" ht="24" customHeight="1" thickTop="1" thickBot="1">
      <c r="A396" s="518">
        <f>A395+295</f>
        <v>295</v>
      </c>
      <c r="B396" s="150" t="s">
        <v>19</v>
      </c>
      <c r="C396" s="150" t="s">
        <v>20</v>
      </c>
      <c r="D396" s="150" t="s">
        <v>21</v>
      </c>
      <c r="E396" s="523" t="s">
        <v>22</v>
      </c>
      <c r="F396" s="523"/>
      <c r="G396" s="523" t="s">
        <v>12</v>
      </c>
      <c r="H396" s="528"/>
      <c r="I396" s="164"/>
      <c r="J396" s="126" t="s">
        <v>39</v>
      </c>
      <c r="K396" s="127"/>
      <c r="L396" s="127"/>
      <c r="M396" s="22"/>
    </row>
    <row r="397" spans="1:13" s="152" customFormat="1" ht="23.25" thickBot="1">
      <c r="A397" s="521"/>
      <c r="B397" s="128" t="s">
        <v>1393</v>
      </c>
      <c r="C397" s="128" t="s">
        <v>1390</v>
      </c>
      <c r="D397" s="129">
        <v>43261</v>
      </c>
      <c r="E397" s="128"/>
      <c r="F397" s="128" t="s">
        <v>1391</v>
      </c>
      <c r="G397" s="524" t="s">
        <v>1367</v>
      </c>
      <c r="H397" s="525"/>
      <c r="I397" s="526"/>
      <c r="J397" s="130" t="s">
        <v>108</v>
      </c>
      <c r="K397" s="130"/>
      <c r="L397" s="130" t="s">
        <v>28</v>
      </c>
      <c r="M397" s="65">
        <v>750</v>
      </c>
    </row>
    <row r="398" spans="1:13" s="152" customFormat="1" ht="23.25" thickBot="1">
      <c r="A398" s="521"/>
      <c r="B398" s="153" t="s">
        <v>29</v>
      </c>
      <c r="C398" s="153" t="s">
        <v>30</v>
      </c>
      <c r="D398" s="153" t="s">
        <v>31</v>
      </c>
      <c r="E398" s="527" t="s">
        <v>32</v>
      </c>
      <c r="F398" s="527"/>
      <c r="G398" s="529"/>
      <c r="H398" s="530"/>
      <c r="I398" s="531"/>
      <c r="J398" s="131" t="s">
        <v>38</v>
      </c>
      <c r="K398" s="132"/>
      <c r="L398" s="132" t="s">
        <v>28</v>
      </c>
      <c r="M398" s="66">
        <v>200</v>
      </c>
    </row>
    <row r="399" spans="1:13" s="152" customFormat="1" ht="23.25" thickBot="1">
      <c r="A399" s="522"/>
      <c r="B399" s="133" t="s">
        <v>130</v>
      </c>
      <c r="C399" s="133" t="s">
        <v>1367</v>
      </c>
      <c r="D399" s="144">
        <v>43264</v>
      </c>
      <c r="E399" s="135" t="s">
        <v>36</v>
      </c>
      <c r="F399" s="25" t="s">
        <v>1392</v>
      </c>
      <c r="G399" s="539"/>
      <c r="H399" s="540"/>
      <c r="I399" s="541"/>
      <c r="J399" s="131" t="s">
        <v>41</v>
      </c>
      <c r="K399" s="132"/>
      <c r="L399" s="132"/>
      <c r="M399" s="24"/>
    </row>
    <row r="400" spans="1:13" s="152" customFormat="1" ht="24" customHeight="1" thickTop="1" thickBot="1">
      <c r="A400" s="518">
        <f>A399+296</f>
        <v>296</v>
      </c>
      <c r="B400" s="150" t="s">
        <v>19</v>
      </c>
      <c r="C400" s="150" t="s">
        <v>20</v>
      </c>
      <c r="D400" s="150" t="s">
        <v>21</v>
      </c>
      <c r="E400" s="523" t="s">
        <v>22</v>
      </c>
      <c r="F400" s="523"/>
      <c r="G400" s="523" t="s">
        <v>12</v>
      </c>
      <c r="H400" s="528"/>
      <c r="I400" s="164"/>
      <c r="J400" s="126" t="s">
        <v>39</v>
      </c>
      <c r="K400" s="127"/>
      <c r="L400" s="127"/>
      <c r="M400" s="22"/>
    </row>
    <row r="401" spans="1:13" s="152" customFormat="1" ht="34.5" thickBot="1">
      <c r="A401" s="521"/>
      <c r="B401" s="128" t="s">
        <v>1394</v>
      </c>
      <c r="C401" s="128" t="s">
        <v>1395</v>
      </c>
      <c r="D401" s="129">
        <v>43356</v>
      </c>
      <c r="E401" s="128"/>
      <c r="F401" s="128" t="s">
        <v>134</v>
      </c>
      <c r="G401" s="524" t="s">
        <v>1396</v>
      </c>
      <c r="H401" s="525"/>
      <c r="I401" s="526"/>
      <c r="J401" s="130" t="s">
        <v>108</v>
      </c>
      <c r="K401" s="130"/>
      <c r="L401" s="130" t="s">
        <v>28</v>
      </c>
      <c r="M401" s="65">
        <v>450</v>
      </c>
    </row>
    <row r="402" spans="1:13" s="152" customFormat="1" ht="34.5" thickBot="1">
      <c r="A402" s="521"/>
      <c r="B402" s="153" t="s">
        <v>29</v>
      </c>
      <c r="C402" s="153" t="s">
        <v>30</v>
      </c>
      <c r="D402" s="153" t="s">
        <v>31</v>
      </c>
      <c r="E402" s="527" t="s">
        <v>32</v>
      </c>
      <c r="F402" s="527"/>
      <c r="G402" s="529"/>
      <c r="H402" s="530"/>
      <c r="I402" s="531"/>
      <c r="J402" s="131" t="s">
        <v>109</v>
      </c>
      <c r="K402" s="132"/>
      <c r="L402" s="132" t="s">
        <v>28</v>
      </c>
      <c r="M402" s="24" t="s">
        <v>1397</v>
      </c>
    </row>
    <row r="403" spans="1:13" s="152" customFormat="1" ht="23.25" thickBot="1">
      <c r="A403" s="522"/>
      <c r="B403" s="133" t="s">
        <v>116</v>
      </c>
      <c r="C403" s="133" t="s">
        <v>1396</v>
      </c>
      <c r="D403" s="144">
        <v>43359</v>
      </c>
      <c r="E403" s="135" t="s">
        <v>36</v>
      </c>
      <c r="F403" s="25" t="s">
        <v>1398</v>
      </c>
      <c r="G403" s="539"/>
      <c r="H403" s="540"/>
      <c r="I403" s="541"/>
      <c r="J403" s="131" t="s">
        <v>38</v>
      </c>
      <c r="K403" s="132"/>
      <c r="L403" s="132" t="s">
        <v>28</v>
      </c>
      <c r="M403" s="66">
        <v>100</v>
      </c>
    </row>
    <row r="404" spans="1:13" s="152" customFormat="1" ht="24" customHeight="1" thickTop="1" thickBot="1">
      <c r="A404" s="518">
        <f>A403+297</f>
        <v>297</v>
      </c>
      <c r="B404" s="150" t="s">
        <v>19</v>
      </c>
      <c r="C404" s="150" t="s">
        <v>20</v>
      </c>
      <c r="D404" s="150" t="s">
        <v>21</v>
      </c>
      <c r="E404" s="523" t="s">
        <v>22</v>
      </c>
      <c r="F404" s="523"/>
      <c r="G404" s="523" t="s">
        <v>12</v>
      </c>
      <c r="H404" s="528"/>
      <c r="I404" s="164"/>
      <c r="J404" s="126" t="s">
        <v>39</v>
      </c>
      <c r="K404" s="127"/>
      <c r="L404" s="127"/>
      <c r="M404" s="22"/>
    </row>
    <row r="405" spans="1:13" s="152" customFormat="1" ht="34.5" thickBot="1">
      <c r="A405" s="521"/>
      <c r="B405" s="128" t="s">
        <v>1394</v>
      </c>
      <c r="C405" s="128" t="s">
        <v>1399</v>
      </c>
      <c r="D405" s="129">
        <v>43272</v>
      </c>
      <c r="E405" s="128"/>
      <c r="F405" s="128" t="s">
        <v>134</v>
      </c>
      <c r="G405" s="524" t="s">
        <v>1396</v>
      </c>
      <c r="H405" s="525"/>
      <c r="I405" s="526"/>
      <c r="J405" s="130" t="s">
        <v>108</v>
      </c>
      <c r="K405" s="130"/>
      <c r="L405" s="130" t="s">
        <v>28</v>
      </c>
      <c r="M405" s="65">
        <v>150</v>
      </c>
    </row>
    <row r="406" spans="1:13" s="152" customFormat="1" ht="23.25" thickBot="1">
      <c r="A406" s="521"/>
      <c r="B406" s="153" t="s">
        <v>29</v>
      </c>
      <c r="C406" s="153" t="s">
        <v>30</v>
      </c>
      <c r="D406" s="153" t="s">
        <v>31</v>
      </c>
      <c r="E406" s="527" t="s">
        <v>32</v>
      </c>
      <c r="F406" s="527"/>
      <c r="G406" s="529"/>
      <c r="H406" s="530"/>
      <c r="I406" s="531"/>
      <c r="J406" s="131" t="s">
        <v>98</v>
      </c>
      <c r="K406" s="132"/>
      <c r="L406" s="132" t="s">
        <v>28</v>
      </c>
      <c r="M406" s="66">
        <v>450</v>
      </c>
    </row>
    <row r="407" spans="1:13" s="152" customFormat="1" ht="23.25" thickBot="1">
      <c r="A407" s="522"/>
      <c r="B407" s="133" t="s">
        <v>116</v>
      </c>
      <c r="C407" s="133" t="s">
        <v>1396</v>
      </c>
      <c r="D407" s="144">
        <v>43273</v>
      </c>
      <c r="E407" s="135" t="s">
        <v>36</v>
      </c>
      <c r="F407" s="25" t="s">
        <v>1400</v>
      </c>
      <c r="G407" s="539"/>
      <c r="H407" s="540"/>
      <c r="I407" s="541"/>
      <c r="J407" s="131" t="s">
        <v>41</v>
      </c>
      <c r="K407" s="132"/>
      <c r="L407" s="132"/>
      <c r="M407" s="24"/>
    </row>
    <row r="408" spans="1:13" s="152" customFormat="1" ht="24" customHeight="1" thickTop="1" thickBot="1">
      <c r="A408" s="518">
        <f>A407+298</f>
        <v>298</v>
      </c>
      <c r="B408" s="150" t="s">
        <v>19</v>
      </c>
      <c r="C408" s="150" t="s">
        <v>20</v>
      </c>
      <c r="D408" s="150" t="s">
        <v>21</v>
      </c>
      <c r="E408" s="523" t="s">
        <v>22</v>
      </c>
      <c r="F408" s="523"/>
      <c r="G408" s="523" t="s">
        <v>12</v>
      </c>
      <c r="H408" s="528"/>
      <c r="I408" s="164"/>
      <c r="J408" s="126" t="s">
        <v>39</v>
      </c>
      <c r="K408" s="127"/>
      <c r="L408" s="127"/>
      <c r="M408" s="22"/>
    </row>
    <row r="409" spans="1:13" s="152" customFormat="1" ht="45.75" thickBot="1">
      <c r="A409" s="521"/>
      <c r="B409" s="128" t="s">
        <v>111</v>
      </c>
      <c r="C409" s="128" t="s">
        <v>1306</v>
      </c>
      <c r="D409" s="129">
        <v>43210</v>
      </c>
      <c r="E409" s="128"/>
      <c r="F409" s="128" t="s">
        <v>107</v>
      </c>
      <c r="G409" s="524" t="s">
        <v>1307</v>
      </c>
      <c r="H409" s="525"/>
      <c r="I409" s="526"/>
      <c r="J409" s="130" t="s">
        <v>108</v>
      </c>
      <c r="K409" s="130"/>
      <c r="L409" s="130" t="s">
        <v>28</v>
      </c>
      <c r="M409" s="145">
        <v>460.44</v>
      </c>
    </row>
    <row r="410" spans="1:13" s="152" customFormat="1" ht="34.5" thickBot="1">
      <c r="A410" s="521"/>
      <c r="B410" s="153" t="s">
        <v>29</v>
      </c>
      <c r="C410" s="153" t="s">
        <v>30</v>
      </c>
      <c r="D410" s="153" t="s">
        <v>31</v>
      </c>
      <c r="E410" s="527" t="s">
        <v>32</v>
      </c>
      <c r="F410" s="527"/>
      <c r="G410" s="529"/>
      <c r="H410" s="530"/>
      <c r="I410" s="531"/>
      <c r="J410" s="131" t="s">
        <v>109</v>
      </c>
      <c r="K410" s="132" t="s">
        <v>28</v>
      </c>
      <c r="L410" s="132" t="s">
        <v>28</v>
      </c>
      <c r="M410" s="24" t="s">
        <v>1401</v>
      </c>
    </row>
    <row r="411" spans="1:13" s="152" customFormat="1" ht="23.25" thickBot="1">
      <c r="A411" s="522"/>
      <c r="B411" s="133" t="s">
        <v>102</v>
      </c>
      <c r="C411" s="133" t="s">
        <v>1308</v>
      </c>
      <c r="D411" s="144">
        <v>43210</v>
      </c>
      <c r="E411" s="135" t="s">
        <v>36</v>
      </c>
      <c r="F411" s="25" t="s">
        <v>1309</v>
      </c>
      <c r="G411" s="539"/>
      <c r="H411" s="540"/>
      <c r="I411" s="541"/>
      <c r="J411" s="131" t="s">
        <v>38</v>
      </c>
      <c r="K411" s="132" t="s">
        <v>28</v>
      </c>
      <c r="L411" s="132"/>
      <c r="M411" s="66">
        <v>100</v>
      </c>
    </row>
    <row r="412" spans="1:13" s="152" customFormat="1" ht="24" customHeight="1" thickTop="1" thickBot="1">
      <c r="A412" s="518">
        <f>A407+299</f>
        <v>299</v>
      </c>
      <c r="B412" s="150" t="s">
        <v>19</v>
      </c>
      <c r="C412" s="150" t="s">
        <v>20</v>
      </c>
      <c r="D412" s="150" t="s">
        <v>21</v>
      </c>
      <c r="E412" s="523" t="s">
        <v>22</v>
      </c>
      <c r="F412" s="523"/>
      <c r="G412" s="523" t="s">
        <v>12</v>
      </c>
      <c r="H412" s="528"/>
      <c r="I412" s="164"/>
      <c r="J412" s="126" t="s">
        <v>39</v>
      </c>
      <c r="K412" s="127"/>
      <c r="L412" s="127"/>
      <c r="M412" s="22"/>
    </row>
    <row r="413" spans="1:13" s="152" customFormat="1" ht="34.5" thickBot="1">
      <c r="A413" s="521"/>
      <c r="B413" s="128" t="s">
        <v>1402</v>
      </c>
      <c r="C413" s="128" t="s">
        <v>1403</v>
      </c>
      <c r="D413" s="129">
        <v>43269</v>
      </c>
      <c r="E413" s="128"/>
      <c r="F413" s="128" t="s">
        <v>1404</v>
      </c>
      <c r="G413" s="524" t="s">
        <v>1405</v>
      </c>
      <c r="H413" s="525"/>
      <c r="I413" s="526"/>
      <c r="J413" s="130" t="s">
        <v>108</v>
      </c>
      <c r="K413" s="130" t="s">
        <v>28</v>
      </c>
      <c r="L413" s="130"/>
      <c r="M413" s="65">
        <v>1975</v>
      </c>
    </row>
    <row r="414" spans="1:13" s="152" customFormat="1" ht="23.25" thickBot="1">
      <c r="A414" s="521"/>
      <c r="B414" s="153" t="s">
        <v>29</v>
      </c>
      <c r="C414" s="153" t="s">
        <v>30</v>
      </c>
      <c r="D414" s="153" t="s">
        <v>31</v>
      </c>
      <c r="E414" s="527" t="s">
        <v>32</v>
      </c>
      <c r="F414" s="527"/>
      <c r="G414" s="529"/>
      <c r="H414" s="530"/>
      <c r="I414" s="531"/>
      <c r="J414" s="131" t="s">
        <v>127</v>
      </c>
      <c r="K414" s="132"/>
      <c r="L414" s="132" t="s">
        <v>28</v>
      </c>
      <c r="M414" s="66">
        <v>1340</v>
      </c>
    </row>
    <row r="415" spans="1:13" s="152" customFormat="1" ht="45.75" thickBot="1">
      <c r="A415" s="522"/>
      <c r="B415" s="133" t="s">
        <v>102</v>
      </c>
      <c r="C415" s="133" t="s">
        <v>1406</v>
      </c>
      <c r="D415" s="144">
        <v>43301</v>
      </c>
      <c r="E415" s="135" t="s">
        <v>36</v>
      </c>
      <c r="F415" s="25" t="s">
        <v>1407</v>
      </c>
      <c r="G415" s="539"/>
      <c r="H415" s="540"/>
      <c r="I415" s="541"/>
      <c r="J415" s="131" t="s">
        <v>41</v>
      </c>
      <c r="K415" s="132"/>
      <c r="L415" s="132"/>
      <c r="M415" s="24"/>
    </row>
    <row r="416" spans="1:13" s="152" customFormat="1" ht="24" customHeight="1" thickTop="1" thickBot="1">
      <c r="A416" s="518">
        <f>A411+300</f>
        <v>300</v>
      </c>
      <c r="B416" s="150" t="s">
        <v>19</v>
      </c>
      <c r="C416" s="150" t="s">
        <v>20</v>
      </c>
      <c r="D416" s="150" t="s">
        <v>21</v>
      </c>
      <c r="E416" s="523" t="s">
        <v>22</v>
      </c>
      <c r="F416" s="523"/>
      <c r="G416" s="523" t="s">
        <v>12</v>
      </c>
      <c r="H416" s="528"/>
      <c r="I416" s="164"/>
      <c r="J416" s="126" t="s">
        <v>39</v>
      </c>
      <c r="K416" s="127"/>
      <c r="L416" s="127"/>
      <c r="M416" s="22"/>
    </row>
    <row r="417" spans="1:13" s="152" customFormat="1" ht="15.75" thickBot="1">
      <c r="A417" s="521"/>
      <c r="B417" s="128" t="s">
        <v>104</v>
      </c>
      <c r="C417" s="128" t="s">
        <v>1408</v>
      </c>
      <c r="D417" s="129">
        <v>43246</v>
      </c>
      <c r="E417" s="128"/>
      <c r="F417" s="128" t="s">
        <v>1409</v>
      </c>
      <c r="G417" s="524" t="s">
        <v>1410</v>
      </c>
      <c r="H417" s="525"/>
      <c r="I417" s="526"/>
      <c r="J417" s="130" t="s">
        <v>108</v>
      </c>
      <c r="K417" s="130" t="s">
        <v>28</v>
      </c>
      <c r="L417" s="130"/>
      <c r="M417" s="65">
        <v>372</v>
      </c>
    </row>
    <row r="418" spans="1:13" s="152" customFormat="1" ht="23.25" thickBot="1">
      <c r="A418" s="521"/>
      <c r="B418" s="153" t="s">
        <v>29</v>
      </c>
      <c r="C418" s="153" t="s">
        <v>30</v>
      </c>
      <c r="D418" s="153" t="s">
        <v>31</v>
      </c>
      <c r="E418" s="527" t="s">
        <v>32</v>
      </c>
      <c r="F418" s="527"/>
      <c r="G418" s="529"/>
      <c r="H418" s="530"/>
      <c r="I418" s="531"/>
      <c r="J418" s="131" t="s">
        <v>127</v>
      </c>
      <c r="K418" s="132" t="s">
        <v>28</v>
      </c>
      <c r="L418" s="132"/>
      <c r="M418" s="66">
        <v>145</v>
      </c>
    </row>
    <row r="419" spans="1:13" s="152" customFormat="1" ht="23.25" thickBot="1">
      <c r="A419" s="522"/>
      <c r="B419" s="442" t="s">
        <v>105</v>
      </c>
      <c r="C419" s="442" t="s">
        <v>1411</v>
      </c>
      <c r="D419" s="144">
        <v>43247</v>
      </c>
      <c r="E419" s="135" t="s">
        <v>36</v>
      </c>
      <c r="F419" s="443" t="s">
        <v>1412</v>
      </c>
      <c r="G419" s="539"/>
      <c r="H419" s="540"/>
      <c r="I419" s="541"/>
      <c r="J419" s="444" t="s">
        <v>38</v>
      </c>
      <c r="K419" s="445" t="s">
        <v>28</v>
      </c>
      <c r="L419" s="445"/>
      <c r="M419" s="82">
        <v>229.5</v>
      </c>
    </row>
    <row r="420" spans="1:13" ht="22.5" customHeight="1" thickTop="1"/>
    <row r="421" spans="1:13" ht="15.75" thickBot="1"/>
    <row r="422" spans="1:13">
      <c r="L422" s="454" t="s">
        <v>1500</v>
      </c>
      <c r="M422" s="459"/>
    </row>
    <row r="423" spans="1:13" ht="23.25" customHeight="1">
      <c r="L423" s="457"/>
      <c r="M423" s="460"/>
    </row>
    <row r="424" spans="1:13" ht="59.25" customHeight="1">
      <c r="L424" s="455" t="b">
        <v>0</v>
      </c>
      <c r="M424" s="461" t="s">
        <v>1501</v>
      </c>
    </row>
    <row r="425" spans="1:13" ht="45">
      <c r="L425" s="455" t="b">
        <v>1</v>
      </c>
      <c r="M425" s="461" t="s">
        <v>1502</v>
      </c>
    </row>
    <row r="426" spans="1:13">
      <c r="L426" s="455" t="b">
        <v>0</v>
      </c>
      <c r="M426" s="460"/>
    </row>
    <row r="427" spans="1:13" ht="23.25" customHeight="1" thickBot="1">
      <c r="L427" s="456">
        <v>1</v>
      </c>
      <c r="M427" s="458"/>
    </row>
    <row r="428" spans="1:13" ht="33.75" customHeight="1"/>
    <row r="431" spans="1:13" ht="23.25" customHeight="1"/>
    <row r="432" spans="1:13" ht="15" customHeight="1"/>
    <row r="435" ht="23.25" customHeight="1"/>
    <row r="436" ht="15" customHeight="1"/>
    <row r="439" ht="23.25" customHeight="1"/>
    <row r="440" ht="45" customHeight="1"/>
    <row r="443" ht="23.25" customHeight="1"/>
    <row r="444" ht="15" customHeight="1"/>
  </sheetData>
  <mergeCells count="722">
    <mergeCell ref="A75:A78"/>
    <mergeCell ref="E75:F75"/>
    <mergeCell ref="G75:H75"/>
    <mergeCell ref="E77:F77"/>
    <mergeCell ref="G78:I78"/>
    <mergeCell ref="A79:A82"/>
    <mergeCell ref="E79:F79"/>
    <mergeCell ref="G79:H79"/>
    <mergeCell ref="E81:F81"/>
    <mergeCell ref="G82:I82"/>
    <mergeCell ref="G80:I80"/>
    <mergeCell ref="G81:I81"/>
    <mergeCell ref="G76:I76"/>
    <mergeCell ref="G77:I77"/>
    <mergeCell ref="J2:M4"/>
    <mergeCell ref="A5:M5"/>
    <mergeCell ref="A6:A13"/>
    <mergeCell ref="B6:J7"/>
    <mergeCell ref="B8:M8"/>
    <mergeCell ref="B9:F9"/>
    <mergeCell ref="G9:G11"/>
    <mergeCell ref="H9:H11"/>
    <mergeCell ref="I9:I11"/>
    <mergeCell ref="J9:J11"/>
    <mergeCell ref="K9:K11"/>
    <mergeCell ref="L9:M11"/>
    <mergeCell ref="B10:F10"/>
    <mergeCell ref="D11:F11"/>
    <mergeCell ref="B12:B13"/>
    <mergeCell ref="C12:C13"/>
    <mergeCell ref="D12:D13"/>
    <mergeCell ref="E12:F13"/>
    <mergeCell ref="G12:I13"/>
    <mergeCell ref="J12:J13"/>
    <mergeCell ref="K12:K13"/>
    <mergeCell ref="L12:L13"/>
    <mergeCell ref="M12:M13"/>
    <mergeCell ref="A14:A17"/>
    <mergeCell ref="E14:F14"/>
    <mergeCell ref="G14:H14"/>
    <mergeCell ref="G15:I15"/>
    <mergeCell ref="E16:F16"/>
    <mergeCell ref="G16:I16"/>
    <mergeCell ref="G17:I17"/>
    <mergeCell ref="A22:A25"/>
    <mergeCell ref="E22:F22"/>
    <mergeCell ref="G22:H22"/>
    <mergeCell ref="G23:I23"/>
    <mergeCell ref="E24:F24"/>
    <mergeCell ref="G24:I24"/>
    <mergeCell ref="G25:I25"/>
    <mergeCell ref="A18:A21"/>
    <mergeCell ref="E18:F18"/>
    <mergeCell ref="G19:I19"/>
    <mergeCell ref="E20:F20"/>
    <mergeCell ref="G20:I20"/>
    <mergeCell ref="G21:I21"/>
    <mergeCell ref="G18:H18"/>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G46:I46"/>
    <mergeCell ref="E42:F42"/>
    <mergeCell ref="G42:H42"/>
    <mergeCell ref="G43:I43"/>
    <mergeCell ref="E44:F44"/>
    <mergeCell ref="G44:I44"/>
    <mergeCell ref="A42:A46"/>
    <mergeCell ref="A47:A50"/>
    <mergeCell ref="E47:F47"/>
    <mergeCell ref="G47:H47"/>
    <mergeCell ref="G48:I48"/>
    <mergeCell ref="E49:F49"/>
    <mergeCell ref="G49:I49"/>
    <mergeCell ref="G50:I50"/>
    <mergeCell ref="G54:I54"/>
    <mergeCell ref="G52:I52"/>
    <mergeCell ref="G53:I53"/>
    <mergeCell ref="A51:A54"/>
    <mergeCell ref="E51:F51"/>
    <mergeCell ref="G51:H51"/>
    <mergeCell ref="E53:F53"/>
    <mergeCell ref="A55:A58"/>
    <mergeCell ref="E55:F55"/>
    <mergeCell ref="G55:H55"/>
    <mergeCell ref="G56:I56"/>
    <mergeCell ref="E57:F57"/>
    <mergeCell ref="G57:I57"/>
    <mergeCell ref="G64:I64"/>
    <mergeCell ref="G65:I65"/>
    <mergeCell ref="G60:I60"/>
    <mergeCell ref="G61:I61"/>
    <mergeCell ref="G58:I58"/>
    <mergeCell ref="A59:A62"/>
    <mergeCell ref="E59:F59"/>
    <mergeCell ref="G59:H59"/>
    <mergeCell ref="E61:F61"/>
    <mergeCell ref="G62:I62"/>
    <mergeCell ref="A63:A66"/>
    <mergeCell ref="E63:F63"/>
    <mergeCell ref="G63:H63"/>
    <mergeCell ref="E65:F65"/>
    <mergeCell ref="G68:I68"/>
    <mergeCell ref="G69:I69"/>
    <mergeCell ref="G66:I66"/>
    <mergeCell ref="A67:A70"/>
    <mergeCell ref="E67:F67"/>
    <mergeCell ref="G67:H67"/>
    <mergeCell ref="E69:F69"/>
    <mergeCell ref="G70:I70"/>
    <mergeCell ref="A71:A74"/>
    <mergeCell ref="E71:F71"/>
    <mergeCell ref="G71:H71"/>
    <mergeCell ref="G72:I72"/>
    <mergeCell ref="E73:F73"/>
    <mergeCell ref="G73:I73"/>
    <mergeCell ref="G74:I74"/>
    <mergeCell ref="G87:I87"/>
    <mergeCell ref="E88:F88"/>
    <mergeCell ref="G89:I89"/>
    <mergeCell ref="G84:I84"/>
    <mergeCell ref="G85:I85"/>
    <mergeCell ref="A83:A87"/>
    <mergeCell ref="E83:F83"/>
    <mergeCell ref="G83:H83"/>
    <mergeCell ref="E85:F85"/>
    <mergeCell ref="A88:A91"/>
    <mergeCell ref="G88:H88"/>
    <mergeCell ref="G90:I90"/>
    <mergeCell ref="E94:F94"/>
    <mergeCell ref="G95:I95"/>
    <mergeCell ref="E96:F96"/>
    <mergeCell ref="G97:I97"/>
    <mergeCell ref="E90:F90"/>
    <mergeCell ref="G91:I91"/>
    <mergeCell ref="E92:F92"/>
    <mergeCell ref="G93:I93"/>
    <mergeCell ref="A92:A95"/>
    <mergeCell ref="G92:H92"/>
    <mergeCell ref="G94:I94"/>
    <mergeCell ref="A96:A99"/>
    <mergeCell ref="G96:H96"/>
    <mergeCell ref="G98:I98"/>
    <mergeCell ref="E102:F102"/>
    <mergeCell ref="G103:I103"/>
    <mergeCell ref="E104:F104"/>
    <mergeCell ref="G105:I105"/>
    <mergeCell ref="E98:F98"/>
    <mergeCell ref="G99:I99"/>
    <mergeCell ref="E100:F100"/>
    <mergeCell ref="G101:I101"/>
    <mergeCell ref="A100:A103"/>
    <mergeCell ref="G100:H100"/>
    <mergeCell ref="G102:I102"/>
    <mergeCell ref="A104:A107"/>
    <mergeCell ref="G104:H104"/>
    <mergeCell ref="G106:I106"/>
    <mergeCell ref="E110:F110"/>
    <mergeCell ref="G111:I111"/>
    <mergeCell ref="E112:F112"/>
    <mergeCell ref="G112:I112"/>
    <mergeCell ref="E106:F106"/>
    <mergeCell ref="G107:I107"/>
    <mergeCell ref="E108:F108"/>
    <mergeCell ref="G109:I109"/>
    <mergeCell ref="A108:A111"/>
    <mergeCell ref="G108:H108"/>
    <mergeCell ref="G110:I110"/>
    <mergeCell ref="A112:A115"/>
    <mergeCell ref="G113:I115"/>
    <mergeCell ref="E118:F118"/>
    <mergeCell ref="G119:I119"/>
    <mergeCell ref="E120:F120"/>
    <mergeCell ref="G121:I121"/>
    <mergeCell ref="E114:F114"/>
    <mergeCell ref="E116:F116"/>
    <mergeCell ref="G117:I117"/>
    <mergeCell ref="A116:A119"/>
    <mergeCell ref="G116:H116"/>
    <mergeCell ref="G118:I118"/>
    <mergeCell ref="A120:A123"/>
    <mergeCell ref="G120:H120"/>
    <mergeCell ref="G122:I122"/>
    <mergeCell ref="E126:F126"/>
    <mergeCell ref="G127:I127"/>
    <mergeCell ref="E128:F128"/>
    <mergeCell ref="G129:I129"/>
    <mergeCell ref="E122:F122"/>
    <mergeCell ref="G123:I123"/>
    <mergeCell ref="E124:F124"/>
    <mergeCell ref="A124:A127"/>
    <mergeCell ref="G124:H124"/>
    <mergeCell ref="G125:I126"/>
    <mergeCell ref="A128:A131"/>
    <mergeCell ref="G128:H128"/>
    <mergeCell ref="G130:I130"/>
    <mergeCell ref="E134:F134"/>
    <mergeCell ref="G135:I135"/>
    <mergeCell ref="E136:F136"/>
    <mergeCell ref="G137:I137"/>
    <mergeCell ref="E130:F130"/>
    <mergeCell ref="G131:I131"/>
    <mergeCell ref="E132:F132"/>
    <mergeCell ref="G133:I133"/>
    <mergeCell ref="A132:A135"/>
    <mergeCell ref="G132:H132"/>
    <mergeCell ref="G134:I134"/>
    <mergeCell ref="A136:A139"/>
    <mergeCell ref="G136:H136"/>
    <mergeCell ref="G138:I138"/>
    <mergeCell ref="E142:F142"/>
    <mergeCell ref="E144:F144"/>
    <mergeCell ref="G145:I145"/>
    <mergeCell ref="E138:F138"/>
    <mergeCell ref="G139:I139"/>
    <mergeCell ref="E140:F140"/>
    <mergeCell ref="G140:I140"/>
    <mergeCell ref="G141:I141"/>
    <mergeCell ref="A140:A143"/>
    <mergeCell ref="G142:I143"/>
    <mergeCell ref="A144:A147"/>
    <mergeCell ref="G144:H144"/>
    <mergeCell ref="G146:I146"/>
    <mergeCell ref="E150:F150"/>
    <mergeCell ref="G151:I151"/>
    <mergeCell ref="E152:F152"/>
    <mergeCell ref="G153:I153"/>
    <mergeCell ref="E146:F146"/>
    <mergeCell ref="G147:I147"/>
    <mergeCell ref="E148:F148"/>
    <mergeCell ref="G149:I149"/>
    <mergeCell ref="A148:A151"/>
    <mergeCell ref="G148:H148"/>
    <mergeCell ref="G150:I150"/>
    <mergeCell ref="A152:A155"/>
    <mergeCell ref="G152:H152"/>
    <mergeCell ref="G154:I154"/>
    <mergeCell ref="E158:F158"/>
    <mergeCell ref="G159:I159"/>
    <mergeCell ref="E160:F160"/>
    <mergeCell ref="E154:F154"/>
    <mergeCell ref="G155:I155"/>
    <mergeCell ref="E156:F156"/>
    <mergeCell ref="A156:A159"/>
    <mergeCell ref="G156:H156"/>
    <mergeCell ref="G157:I157"/>
    <mergeCell ref="G158:I158"/>
    <mergeCell ref="A160:A163"/>
    <mergeCell ref="G160:H160"/>
    <mergeCell ref="G161:I161"/>
    <mergeCell ref="G162:I162"/>
    <mergeCell ref="E166:F166"/>
    <mergeCell ref="G167:I167"/>
    <mergeCell ref="E168:F168"/>
    <mergeCell ref="G169:I169"/>
    <mergeCell ref="E162:F162"/>
    <mergeCell ref="G163:I163"/>
    <mergeCell ref="E164:F164"/>
    <mergeCell ref="G165:I165"/>
    <mergeCell ref="A164:A167"/>
    <mergeCell ref="G164:H164"/>
    <mergeCell ref="G166:I166"/>
    <mergeCell ref="A168:A171"/>
    <mergeCell ref="G168:H168"/>
    <mergeCell ref="G170:I170"/>
    <mergeCell ref="E174:F174"/>
    <mergeCell ref="G175:I175"/>
    <mergeCell ref="E176:F176"/>
    <mergeCell ref="G177:I177"/>
    <mergeCell ref="E170:F170"/>
    <mergeCell ref="G171:I171"/>
    <mergeCell ref="E172:F172"/>
    <mergeCell ref="G173:I173"/>
    <mergeCell ref="A172:A175"/>
    <mergeCell ref="G172:H172"/>
    <mergeCell ref="G174:I174"/>
    <mergeCell ref="A176:A179"/>
    <mergeCell ref="G176:H176"/>
    <mergeCell ref="G178:I178"/>
    <mergeCell ref="E182:F182"/>
    <mergeCell ref="G183:I183"/>
    <mergeCell ref="E184:F184"/>
    <mergeCell ref="G185:I185"/>
    <mergeCell ref="E178:F178"/>
    <mergeCell ref="G179:I179"/>
    <mergeCell ref="E180:F180"/>
    <mergeCell ref="G181:I181"/>
    <mergeCell ref="A180:A183"/>
    <mergeCell ref="G180:H180"/>
    <mergeCell ref="G182:I182"/>
    <mergeCell ref="A184:A187"/>
    <mergeCell ref="G184:H184"/>
    <mergeCell ref="G186:I186"/>
    <mergeCell ref="E190:F190"/>
    <mergeCell ref="G191:I191"/>
    <mergeCell ref="E192:F192"/>
    <mergeCell ref="G193:I193"/>
    <mergeCell ref="E186:F186"/>
    <mergeCell ref="G187:I187"/>
    <mergeCell ref="E188:F188"/>
    <mergeCell ref="G189:I189"/>
    <mergeCell ref="A188:A191"/>
    <mergeCell ref="G188:H188"/>
    <mergeCell ref="G190:I190"/>
    <mergeCell ref="A192:A195"/>
    <mergeCell ref="G192:H192"/>
    <mergeCell ref="G194:I194"/>
    <mergeCell ref="E198:F198"/>
    <mergeCell ref="G199:I199"/>
    <mergeCell ref="E200:F200"/>
    <mergeCell ref="E194:F194"/>
    <mergeCell ref="G195:I195"/>
    <mergeCell ref="E196:F196"/>
    <mergeCell ref="G197:I197"/>
    <mergeCell ref="G201:I201"/>
    <mergeCell ref="A196:A199"/>
    <mergeCell ref="G196:H196"/>
    <mergeCell ref="G198:I198"/>
    <mergeCell ref="A200:A203"/>
    <mergeCell ref="G200:H200"/>
    <mergeCell ref="G202:I202"/>
    <mergeCell ref="E206:F206"/>
    <mergeCell ref="G207:I207"/>
    <mergeCell ref="E208:F208"/>
    <mergeCell ref="G209:I209"/>
    <mergeCell ref="E202:F202"/>
    <mergeCell ref="G203:I203"/>
    <mergeCell ref="E204:F204"/>
    <mergeCell ref="G205:I205"/>
    <mergeCell ref="A204:A207"/>
    <mergeCell ref="G204:H204"/>
    <mergeCell ref="G206:I206"/>
    <mergeCell ref="A208:A211"/>
    <mergeCell ref="G208:H208"/>
    <mergeCell ref="G210:I210"/>
    <mergeCell ref="E214:F214"/>
    <mergeCell ref="G215:I215"/>
    <mergeCell ref="E216:F216"/>
    <mergeCell ref="E210:F210"/>
    <mergeCell ref="G211:I211"/>
    <mergeCell ref="E212:F212"/>
    <mergeCell ref="G213:I213"/>
    <mergeCell ref="G217:I217"/>
    <mergeCell ref="A212:A215"/>
    <mergeCell ref="G212:H212"/>
    <mergeCell ref="G214:I214"/>
    <mergeCell ref="A216:A219"/>
    <mergeCell ref="G216:H216"/>
    <mergeCell ref="G218:I218"/>
    <mergeCell ref="E222:F222"/>
    <mergeCell ref="G223:I223"/>
    <mergeCell ref="E224:F224"/>
    <mergeCell ref="G225:I225"/>
    <mergeCell ref="E218:F218"/>
    <mergeCell ref="G219:I219"/>
    <mergeCell ref="E220:F220"/>
    <mergeCell ref="G221:I221"/>
    <mergeCell ref="A220:A223"/>
    <mergeCell ref="G220:H220"/>
    <mergeCell ref="G222:I222"/>
    <mergeCell ref="A224:A227"/>
    <mergeCell ref="G224:H224"/>
    <mergeCell ref="G226:I226"/>
    <mergeCell ref="E230:F230"/>
    <mergeCell ref="E232:F232"/>
    <mergeCell ref="E226:F226"/>
    <mergeCell ref="G227:I227"/>
    <mergeCell ref="E228:F228"/>
    <mergeCell ref="G233:I233"/>
    <mergeCell ref="A228:A231"/>
    <mergeCell ref="G228:I228"/>
    <mergeCell ref="G229:I229"/>
    <mergeCell ref="G230:I231"/>
    <mergeCell ref="A232:A235"/>
    <mergeCell ref="G232:H232"/>
    <mergeCell ref="G234:I234"/>
    <mergeCell ref="E238:F238"/>
    <mergeCell ref="G239:I239"/>
    <mergeCell ref="E240:F240"/>
    <mergeCell ref="E234:F234"/>
    <mergeCell ref="G235:I235"/>
    <mergeCell ref="E236:F236"/>
    <mergeCell ref="G237:I237"/>
    <mergeCell ref="G241:I241"/>
    <mergeCell ref="A236:A239"/>
    <mergeCell ref="G236:H236"/>
    <mergeCell ref="G238:I238"/>
    <mergeCell ref="A240:A243"/>
    <mergeCell ref="G240:H240"/>
    <mergeCell ref="G242:I242"/>
    <mergeCell ref="E242:F242"/>
    <mergeCell ref="G243:I243"/>
    <mergeCell ref="E244:F244"/>
    <mergeCell ref="G245:I245"/>
    <mergeCell ref="G249:I249"/>
    <mergeCell ref="A244:A247"/>
    <mergeCell ref="G244:H244"/>
    <mergeCell ref="G246:I246"/>
    <mergeCell ref="A248:A251"/>
    <mergeCell ref="G248:H248"/>
    <mergeCell ref="G250:I250"/>
    <mergeCell ref="E256:F256"/>
    <mergeCell ref="G256:I256"/>
    <mergeCell ref="G257:I257"/>
    <mergeCell ref="E250:F250"/>
    <mergeCell ref="G251:I251"/>
    <mergeCell ref="E252:F252"/>
    <mergeCell ref="G253:I253"/>
    <mergeCell ref="E246:F246"/>
    <mergeCell ref="G247:I247"/>
    <mergeCell ref="E248:F248"/>
    <mergeCell ref="E266:F266"/>
    <mergeCell ref="G267:I267"/>
    <mergeCell ref="E268:F268"/>
    <mergeCell ref="G269:I269"/>
    <mergeCell ref="A252:A255"/>
    <mergeCell ref="G252:H252"/>
    <mergeCell ref="G254:I254"/>
    <mergeCell ref="A256:A259"/>
    <mergeCell ref="G258:I259"/>
    <mergeCell ref="E262:F262"/>
    <mergeCell ref="G263:I263"/>
    <mergeCell ref="E264:F264"/>
    <mergeCell ref="G265:I265"/>
    <mergeCell ref="E258:F258"/>
    <mergeCell ref="E260:F260"/>
    <mergeCell ref="G261:I261"/>
    <mergeCell ref="A260:A263"/>
    <mergeCell ref="G260:H260"/>
    <mergeCell ref="G262:I262"/>
    <mergeCell ref="A264:A267"/>
    <mergeCell ref="G264:H264"/>
    <mergeCell ref="G266:I266"/>
    <mergeCell ref="E254:F254"/>
    <mergeCell ref="G255:I255"/>
    <mergeCell ref="A268:A271"/>
    <mergeCell ref="G268:H268"/>
    <mergeCell ref="G270:I270"/>
    <mergeCell ref="A272:A275"/>
    <mergeCell ref="G274:I275"/>
    <mergeCell ref="E278:F278"/>
    <mergeCell ref="E280:F280"/>
    <mergeCell ref="E274:F274"/>
    <mergeCell ref="E276:F276"/>
    <mergeCell ref="G276:I276"/>
    <mergeCell ref="G277:I277"/>
    <mergeCell ref="E270:F270"/>
    <mergeCell ref="G271:I271"/>
    <mergeCell ref="E272:F272"/>
    <mergeCell ref="G272:I272"/>
    <mergeCell ref="G273:I273"/>
    <mergeCell ref="G281:I281"/>
    <mergeCell ref="A276:A279"/>
    <mergeCell ref="G278:I279"/>
    <mergeCell ref="A280:A283"/>
    <mergeCell ref="G280:H280"/>
    <mergeCell ref="G282:I282"/>
    <mergeCell ref="E286:F286"/>
    <mergeCell ref="G287:I287"/>
    <mergeCell ref="E288:F288"/>
    <mergeCell ref="G289:I289"/>
    <mergeCell ref="E282:F282"/>
    <mergeCell ref="G283:I283"/>
    <mergeCell ref="E284:F284"/>
    <mergeCell ref="A284:A287"/>
    <mergeCell ref="G284:H284"/>
    <mergeCell ref="G285:I285"/>
    <mergeCell ref="G286:I286"/>
    <mergeCell ref="A288:A291"/>
    <mergeCell ref="G288:H288"/>
    <mergeCell ref="G290:I290"/>
    <mergeCell ref="E294:F294"/>
    <mergeCell ref="G295:I295"/>
    <mergeCell ref="E296:F296"/>
    <mergeCell ref="E290:F290"/>
    <mergeCell ref="G291:I291"/>
    <mergeCell ref="E292:F292"/>
    <mergeCell ref="G293:I293"/>
    <mergeCell ref="G297:I297"/>
    <mergeCell ref="A292:A295"/>
    <mergeCell ref="G292:H292"/>
    <mergeCell ref="G294:I294"/>
    <mergeCell ref="A296:A299"/>
    <mergeCell ref="G296:H296"/>
    <mergeCell ref="G298:I298"/>
    <mergeCell ref="E302:F302"/>
    <mergeCell ref="G303:I303"/>
    <mergeCell ref="E304:F304"/>
    <mergeCell ref="G305:I305"/>
    <mergeCell ref="E298:F298"/>
    <mergeCell ref="G299:I299"/>
    <mergeCell ref="E300:F300"/>
    <mergeCell ref="G301:I301"/>
    <mergeCell ref="A300:A303"/>
    <mergeCell ref="G300:H300"/>
    <mergeCell ref="G302:I302"/>
    <mergeCell ref="A304:A307"/>
    <mergeCell ref="G304:H304"/>
    <mergeCell ref="G306:I306"/>
    <mergeCell ref="E310:F310"/>
    <mergeCell ref="G311:I311"/>
    <mergeCell ref="E312:F312"/>
    <mergeCell ref="E306:F306"/>
    <mergeCell ref="G307:I307"/>
    <mergeCell ref="E308:F308"/>
    <mergeCell ref="G309:I309"/>
    <mergeCell ref="G313:I313"/>
    <mergeCell ref="A308:A311"/>
    <mergeCell ref="G308:H308"/>
    <mergeCell ref="G310:I310"/>
    <mergeCell ref="A312:A315"/>
    <mergeCell ref="G312:H312"/>
    <mergeCell ref="G314:I314"/>
    <mergeCell ref="E318:F318"/>
    <mergeCell ref="G319:I319"/>
    <mergeCell ref="E320:F320"/>
    <mergeCell ref="G321:I321"/>
    <mergeCell ref="E314:F314"/>
    <mergeCell ref="G315:I315"/>
    <mergeCell ref="E316:F316"/>
    <mergeCell ref="G317:I317"/>
    <mergeCell ref="A316:A319"/>
    <mergeCell ref="G316:H316"/>
    <mergeCell ref="G318:I318"/>
    <mergeCell ref="A320:A323"/>
    <mergeCell ref="G320:H320"/>
    <mergeCell ref="G322:I322"/>
    <mergeCell ref="E326:F326"/>
    <mergeCell ref="G327:I327"/>
    <mergeCell ref="E328:F328"/>
    <mergeCell ref="E322:F322"/>
    <mergeCell ref="G323:I323"/>
    <mergeCell ref="E324:F324"/>
    <mergeCell ref="G325:I325"/>
    <mergeCell ref="G329:I329"/>
    <mergeCell ref="A324:A327"/>
    <mergeCell ref="G324:H324"/>
    <mergeCell ref="G326:I326"/>
    <mergeCell ref="A328:A331"/>
    <mergeCell ref="G328:H328"/>
    <mergeCell ref="G330:I330"/>
    <mergeCell ref="E334:F334"/>
    <mergeCell ref="G335:I335"/>
    <mergeCell ref="E336:F336"/>
    <mergeCell ref="G337:I337"/>
    <mergeCell ref="E330:F330"/>
    <mergeCell ref="G331:I331"/>
    <mergeCell ref="E332:F332"/>
    <mergeCell ref="G333:I333"/>
    <mergeCell ref="A332:A335"/>
    <mergeCell ref="G332:H332"/>
    <mergeCell ref="G334:I334"/>
    <mergeCell ref="A336:A339"/>
    <mergeCell ref="G336:H336"/>
    <mergeCell ref="G338:I338"/>
    <mergeCell ref="E342:F342"/>
    <mergeCell ref="G343:I343"/>
    <mergeCell ref="E344:F344"/>
    <mergeCell ref="G345:I345"/>
    <mergeCell ref="E338:F338"/>
    <mergeCell ref="G339:I339"/>
    <mergeCell ref="E340:F340"/>
    <mergeCell ref="A340:A343"/>
    <mergeCell ref="G340:H340"/>
    <mergeCell ref="G341:I341"/>
    <mergeCell ref="G342:I342"/>
    <mergeCell ref="A344:A347"/>
    <mergeCell ref="G344:H344"/>
    <mergeCell ref="G346:I346"/>
    <mergeCell ref="E350:F350"/>
    <mergeCell ref="G351:I351"/>
    <mergeCell ref="E352:F352"/>
    <mergeCell ref="G353:I353"/>
    <mergeCell ref="E346:F346"/>
    <mergeCell ref="G347:I347"/>
    <mergeCell ref="E348:F348"/>
    <mergeCell ref="G349:I349"/>
    <mergeCell ref="A348:A351"/>
    <mergeCell ref="G348:H348"/>
    <mergeCell ref="G350:I350"/>
    <mergeCell ref="A352:A355"/>
    <mergeCell ref="G352:H352"/>
    <mergeCell ref="G354:I354"/>
    <mergeCell ref="E358:F358"/>
    <mergeCell ref="G359:I359"/>
    <mergeCell ref="E360:F360"/>
    <mergeCell ref="G361:I361"/>
    <mergeCell ref="E354:F354"/>
    <mergeCell ref="G355:I355"/>
    <mergeCell ref="E356:F356"/>
    <mergeCell ref="G357:I357"/>
    <mergeCell ref="A356:A359"/>
    <mergeCell ref="G356:H356"/>
    <mergeCell ref="G358:I358"/>
    <mergeCell ref="A360:A363"/>
    <mergeCell ref="G360:H360"/>
    <mergeCell ref="G362:I362"/>
    <mergeCell ref="E366:F366"/>
    <mergeCell ref="G367:I367"/>
    <mergeCell ref="E368:F368"/>
    <mergeCell ref="G369:I369"/>
    <mergeCell ref="E362:F362"/>
    <mergeCell ref="G363:I363"/>
    <mergeCell ref="E364:F364"/>
    <mergeCell ref="G365:I365"/>
    <mergeCell ref="A364:A367"/>
    <mergeCell ref="G364:H364"/>
    <mergeCell ref="G366:I366"/>
    <mergeCell ref="A368:A371"/>
    <mergeCell ref="G368:H368"/>
    <mergeCell ref="G370:I370"/>
    <mergeCell ref="E374:F374"/>
    <mergeCell ref="G375:I375"/>
    <mergeCell ref="E376:F376"/>
    <mergeCell ref="G377:I377"/>
    <mergeCell ref="E370:F370"/>
    <mergeCell ref="G371:I371"/>
    <mergeCell ref="E372:F372"/>
    <mergeCell ref="G373:I373"/>
    <mergeCell ref="A372:A375"/>
    <mergeCell ref="G372:H372"/>
    <mergeCell ref="G374:I374"/>
    <mergeCell ref="A376:A379"/>
    <mergeCell ref="G376:H376"/>
    <mergeCell ref="G378:I378"/>
    <mergeCell ref="E382:F382"/>
    <mergeCell ref="G383:I383"/>
    <mergeCell ref="E384:F384"/>
    <mergeCell ref="G385:I385"/>
    <mergeCell ref="E378:F378"/>
    <mergeCell ref="G379:I379"/>
    <mergeCell ref="E380:F380"/>
    <mergeCell ref="G381:I381"/>
    <mergeCell ref="A380:A383"/>
    <mergeCell ref="G380:H380"/>
    <mergeCell ref="G382:I382"/>
    <mergeCell ref="A384:A387"/>
    <mergeCell ref="G384:H384"/>
    <mergeCell ref="G386:I386"/>
    <mergeCell ref="E390:F390"/>
    <mergeCell ref="G391:I391"/>
    <mergeCell ref="E392:F392"/>
    <mergeCell ref="G393:I393"/>
    <mergeCell ref="E386:F386"/>
    <mergeCell ref="G387:I387"/>
    <mergeCell ref="E388:F388"/>
    <mergeCell ref="G389:I389"/>
    <mergeCell ref="A388:A391"/>
    <mergeCell ref="G388:H388"/>
    <mergeCell ref="G390:I390"/>
    <mergeCell ref="A392:A395"/>
    <mergeCell ref="G392:H392"/>
    <mergeCell ref="G394:I394"/>
    <mergeCell ref="E398:F398"/>
    <mergeCell ref="G399:I399"/>
    <mergeCell ref="E400:F400"/>
    <mergeCell ref="G401:I401"/>
    <mergeCell ref="E394:F394"/>
    <mergeCell ref="G395:I395"/>
    <mergeCell ref="E396:F396"/>
    <mergeCell ref="A396:A399"/>
    <mergeCell ref="G396:H396"/>
    <mergeCell ref="G397:I397"/>
    <mergeCell ref="G398:I398"/>
    <mergeCell ref="A400:A403"/>
    <mergeCell ref="G400:H400"/>
    <mergeCell ref="G402:I402"/>
    <mergeCell ref="E406:F406"/>
    <mergeCell ref="G407:I407"/>
    <mergeCell ref="E408:F408"/>
    <mergeCell ref="E402:F402"/>
    <mergeCell ref="G403:I403"/>
    <mergeCell ref="E404:F404"/>
    <mergeCell ref="G405:I405"/>
    <mergeCell ref="G409:I409"/>
    <mergeCell ref="A404:A407"/>
    <mergeCell ref="G404:H404"/>
    <mergeCell ref="G406:I406"/>
    <mergeCell ref="A408:A411"/>
    <mergeCell ref="G408:H408"/>
    <mergeCell ref="G410:I410"/>
    <mergeCell ref="E414:F414"/>
    <mergeCell ref="G415:I415"/>
    <mergeCell ref="E416:F416"/>
    <mergeCell ref="G417:I417"/>
    <mergeCell ref="E410:F410"/>
    <mergeCell ref="G411:I411"/>
    <mergeCell ref="E412:F412"/>
    <mergeCell ref="G413:I413"/>
    <mergeCell ref="A412:A415"/>
    <mergeCell ref="G412:H412"/>
    <mergeCell ref="G414:I414"/>
    <mergeCell ref="A416:A419"/>
    <mergeCell ref="G416:H416"/>
    <mergeCell ref="E418:F418"/>
    <mergeCell ref="G418:I418"/>
    <mergeCell ref="G419:I419"/>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F111"/>
    <dataValidation allowBlank="1" showInputMessage="1" showErrorMessage="1" promptTitle="Event Sponsor Example" prompt="Event Sponsor is listed here." sqref="C17 C111"/>
    <dataValidation allowBlank="1" showInputMessage="1" showErrorMessage="1" promptTitle="Traveler Title Example" prompt="Traveler Title is listed here." sqref="B17 B111"/>
    <dataValidation allowBlank="1" showInputMessage="1" showErrorMessage="1" promptTitle="Location Example" prompt="Location listed here." sqref="F15 F109"/>
    <dataValidation allowBlank="1" showInputMessage="1" showErrorMessage="1" promptTitle="Event Description Example" prompt="Event Description listed here._x000a_" sqref="C15 C109"/>
    <dataValidation allowBlank="1" showInputMessage="1" showErrorMessage="1" promptTitle="Traveler Name Example" prompt="Traveler Name Listed Here" sqref="B15 B109"/>
    <dataValidation type="date" allowBlank="1" showInputMessage="1" showErrorMessage="1" errorTitle="Data Entry Error" error="Please enter date using MM/DD/YYYY" promptTitle="Event Ending Date Example" prompt="Event ending date is listed here using the form MM/DD/YYYY." sqref="D17 D111">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109">
      <formula1>40179</formula1>
      <formula2>73051</formula2>
    </dataValidation>
    <dataValidation allowBlank="1" showInputMessage="1" showErrorMessage="1" promptTitle="Benefit #3 Total Amount Example" prompt="The total amount of Benefit #3 is entered here." sqref="M17 M111"/>
    <dataValidation allowBlank="1" showInputMessage="1" showErrorMessage="1" promptTitle="Benefit #2 Total Amount Example" prompt="The total amount of Benefit #2 is entered here." sqref="M16 M110"/>
    <dataValidation allowBlank="1" showInputMessage="1" showErrorMessage="1" promptTitle="Payment #2-- Payment in-kind" prompt="If payment type for benefit #2 was in-kind, this box would contain an x." sqref="L16 L110"/>
    <dataValidation allowBlank="1" showInputMessage="1" showErrorMessage="1" promptTitle="Benefit #3-- Payment in-kind" prompt="Since the payment type for benefit #3 was in-kind, this box contains an x." sqref="L17 L111"/>
    <dataValidation allowBlank="1" showInputMessage="1" showErrorMessage="1" promptTitle="Benefit #3-- Payment by Check" prompt="If payment type for benefit #3 was by check, this box would contain an x." sqref="K17 K111"/>
    <dataValidation allowBlank="1" showInputMessage="1" showErrorMessage="1" promptTitle="Benefit #2-- Payment by Check" prompt="Since benefit #2 was paid by check, this box contains an x." sqref="K16 K110"/>
    <dataValidation allowBlank="1" showInputMessage="1" showErrorMessage="1" promptTitle="Benefit #3 Description Example" prompt="Benefit #3 description is listed here" sqref="J17 J111"/>
    <dataValidation allowBlank="1" showInputMessage="1" showErrorMessage="1" promptTitle="Benefit #2 Description Example" prompt="Benefit #2 description is listed here" sqref="J16 J110"/>
    <dataValidation allowBlank="1" showInputMessage="1" showErrorMessage="1" promptTitle="Benefit #1 Total Amount Example" prompt="The total amount of Benefit #1 is entered here." sqref="M15 M109"/>
    <dataValidation allowBlank="1" showInputMessage="1" showErrorMessage="1" promptTitle="Benefit #1-- Payment in-kind" prompt="Since the payment type for benefit #1 was in-kind, this box contains an x." sqref="L15 L109"/>
    <dataValidation allowBlank="1" showInputMessage="1" showErrorMessage="1" promptTitle="Benefit #1--Payment by Check" prompt="If payment type for benefit #1 was by check, this box would contain an x." sqref="K15 K109"/>
    <dataValidation allowBlank="1" showInputMessage="1" showErrorMessage="1" promptTitle="Benefit#1 Description Example" prompt="Benefit Description for Entry #1 is listed here." sqref="J15 J109"/>
    <dataValidation allowBlank="1" showInputMessage="1" showErrorMessage="1" promptTitle="Benefit Source" prompt="List the benefit source here." sqref="G15:I15 G17:I17 G225:I225 G271:I271 G229 G235:I235 G239:I239 G237:I237 G233:I233 G243:I243 G247:I247 G251:I251 G255:I255 G241:I241 G245:I245 G249:I249 G253:I253 G257 G263:I263 G127:I127 G267:I267 G265:I265 G261:I261 G273 G113 G21:I21 G19:I19 G25:I25 G23:I23 G29:I29 G27:I27 G33:I33 G31:I31 G37:I37 G35:I35 G41:I41 G39:I39 G56:I56 G62:I62 G60:I60 G66:I66 G64:I64 G70:I70 G74:I74 G78:I78 G82:I82 G72:I72 G76:I76 G80:I80 G101:I101 G105:I105 G52:I52 G58:I58 G87:I87 G91:I91 G95:I95 G99:I99 G103:I103 G107:I107 G84:I84 G89:I89 G93:I93 G97:I97 G109:I109 G111:I111 G131:I131 G129:I129 G135:I135 G133:I133 G139:I139 G137:I137 G125 G269:I269 G68:I68 G46:I46 G43:I43 G50:I50 G48:I48 G54:I54 G119:I119 G117:I117 G123:I123 G121:I121 G191:I191 G147:I147 G145:I145 G151:I151 G149:I149 G155:I155 G153:I153 G159:I159 G157:I157 G189:I189 G141 G163:I163 G161:I161 G167:I167 G165:I165 G171:I171 G169:I169 G175:I175 G173:I173 G179:I179 G177:I177 G183:I183 G181:I181 G187:I187 G185:I185 G195:I195 G193:I193 G199:I199 G197:I197 G203:I203 G201:I201 G207:I207 G205:I205 G211:I211 G209:I209 G215:I215 G213:I213 G219:I219 G217:I217 G223:I223 G221:I221 G227:I227 G277 G283:I283 G287:I287 G285:I285 G281:I281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G415:I415 G419:I419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dataValidation allowBlank="1" showInputMessage="1" showErrorMessage="1" promptTitle="Benefit #3- Payment in-kind" prompt="If there is a benefit #3 and it was paid in-kind, mark this box with an  x._x000a_" sqref="L235 L239 L243 L247 L251 L255 L259 L263 L267 L127 L275 L21 L62 L25 L29 L66 L70 L74 L33 L37 L41 L54 L78 L82 L58 L87 L91 L107 L95 L99 L131 L103 L135 L139 L46 L50 L115 L119 L123 L271 L143 L147 L151 L155 L159 L191 L163 L167 L171 L175 L179 L183 L187 L195 L199 L203 L207 L211 L215 L219 L223 L227 L231 L279 L283 L287 L291 L295 L299 L303 L307 L311 L315 L319 L323 L327 L331 L335 L339 L343 L347 L351 L355 L359 L363 L367 L371 L375 L379 L383 L387 L391 L395 L399 L403 L407 L411 L415 L419"/>
    <dataValidation allowBlank="1" showInputMessage="1" showErrorMessage="1" promptTitle="Benefit #2- Payment in-kind" prompt="If there is a benefit #2 and it was paid in-kind, mark this box with an  x._x000a_" sqref="L234 L238 L242 L246 L250 L254 L258 L262 L266 L126 L274 L20 L24 L61 L28 L65 L69 L73 L32 L36 L40 L53 L57 L77 L85:L86 L90 L94 L81 L106 L98 L130 L102 L134 L138 L44:L45 L49 L114 L118 L122 L270 L142 L146 L150 L154 L158 L190 L162 L166 L170 L174 L178 L182 L186 L194 L198 L202 L206 L210 L214 L218 L222 L226 L230 L278 L282 L286 L290 L294 L298 L302 L306 L310 L314 L318 L322 L326 L330 L334 L338 L342 L346 L350 L354 L358 L362 L366 L370 L374 L378 L382 L386 L390 L394 L398 L402 L406 L410 L414 L418"/>
    <dataValidation allowBlank="1" showInputMessage="1" showErrorMessage="1" promptTitle="Benefit #1- Payment in-kind" prompt="If there is a benefit #1 and it was paid in-kind, mark this box with an  x._x000a_" sqref="L232:L233 L236:L237 L240:L241 L244:L245 L248:L249 L252:L253 L256:L257 L260:L261 L128:L129 L132:L133 L264:L265 L272:L273 L18:L19 L22:L23 L26:L27 L55:L56 L30:L31 L59:L60 L63:L64 L71:L72 L34:L35 L38:L39 L47:L48 L51:L52 L75:L76 L83:L84 L88:L89 L92:L93 L79:L80 L104:L105 L96:L97 L100:L101 L136:L137 L112:L113 L67:L68 L42:L43 L116:L117 L120:L121 L124:L125 L268:L269 L188:L189 L144:L145 L148:L149 L152:L153 L156:L157 L140:L141 L160:L161 L164:L165 L168:L169 L172:L173 L176:L177 L180:L181 L184:L185 L192:L193 L196:L197 L200:L201 L204:L205 L208:L209 L212:L213 L216:L217 L220:L221 L224:L225 L228:L229 L276:L277 L280:L281 L284:L285 L288:L289 L292:L293 L296:L297 L300:L301 L304:L305 L308:L309 L312:L313 L316:L317 L320:L321 L324:L325 L328:L329 L332:L333 L336:L337 L340:L341 L344:L345 L348:L349 L352:L353 L356:L357 L360:L361 L364:L365 L368:L369 L372:L373 L376:L377 L380:L381 L384:L385 L388:L389 L392:L393 L396:L397 L400:L401 L404:L405 L408:L409 L412:L413 L416:L417"/>
    <dataValidation allowBlank="1" showInputMessage="1" showErrorMessage="1" promptTitle="Benefit #3--Payment by Check" prompt="If there is a benefit #3 and it was paid by check, mark an x in this cell._x000a_" sqref="K235 K239 K243 K247 K251 K255 K259 K263 K267 K127 K275 K21 K62 K25 K29 K66 K70 K74 K33 K37 K41 K54 K78 K82 K58 K87 K91 K107 K95 K99 K131 K103 K135 K139 K46 K50 K115 K119 K123 K271 K143 K147 K151 K155 K159 K191 K163 K167 K171 K175 K179 K183 K187 K195 K199 K203 K207 K211 K215 K219 K223 K227 K231 K279 K283 K287 K291 K295 K299 K303 K307 K311 K315 K319 K323 K327 K331 K335 K339 K343 K347 K351 K355 K359 K363 K367 K371 K375 K379 K383 K387 K391 K395 K399 K403 K407 K411 K415 K419"/>
    <dataValidation allowBlank="1" showInputMessage="1" showErrorMessage="1" promptTitle="Benefit #2--Payment by Check" prompt="If there is a benefit #2 and it was paid by check, mark an x in this cell._x000a_" sqref="K234 K238 K242 K246 K250 K254 K258 K262 K266 K126 K274 K20 K24 K61 K28 K65 K69 K73 K32 K36 K40 K53 K57 K77 K85:K86 K90 K94 K81 K106 K98 K130 K102 K134 K138 K44:K45 K49 K114 K118 K122 K270 K142 K146 K150 K154 K158 K190 K162 K166 K170 K174 K178 K182 K186 K194 K198 K202 K206 K210 K214 K218 K222 K226 K230 K278 K282 K286 K290 K294 K298 K302 K306 K310 K314 K318 K322 K326 K330 K334 K338 K342 K346 K350 K354 K358 K362 K366 K370 K374 K378 K382 K386 K390 K394 K398 K402 K406 K410 K414 K418"/>
    <dataValidation allowBlank="1" showInputMessage="1" showErrorMessage="1" promptTitle="Benefit #1--Payment by Check" prompt="If there is a benefit #1 and it was paid by check, mark an x in this cell._x000a_" sqref="K232:K233 K236:K237 K240:K241 K244:K245 K248:K249 K252:K253 K256:K257 K260:K261 K128:K129 K132:K133 K264:K265 K272:K273 K18:K19 K22:K23 K26:K27 K55:K56 K30:K31 K59:K60 K63:K64 K71:K72 K34:K35 K38:K39 K47:K48 K51:K52 K75:K76 K83:K84 K88:K89 K92:K93 K79:K80 K104:K105 K96:K97 K100:K101 K136:K137 K112:K113 K67:K68 K42:K43 K116:K117 K120:K121 K124:K125 K268:K269 K188:K189 K144:K145 K148:K149 K152:K153 K156:K157 K140:K141 K160:K161 K164:K165 K168:K169 K172:K173 K176:K177 K180:K181 K184:K185 K192:K193 K196:K197 K200:K201 K204:K205 K208:K209 K212:K213 K216:K217 K220:K221 K224:K225 K228:K229 K276:K277 K280:K281 K284:K285 K288:K289 K292:K293 K296:K297 K300:K301 K304:K305 K308:K309 K312:K313 K316:K317 K320:K321 K324:K325 K328:K329 K332:K333 K336:K337 K340:K341 K344:K345 K348:K349 K352:K353 K356:K357 K360:K361 K364:K365 K368:K369 K372:K373 K376:K377 K380:K381 K384:K385 K388:K389 K392:K393 K396:K397 K400:K401 K404:K405 K408:K409 K412:K413 K416:K417"/>
    <dataValidation allowBlank="1" showInputMessage="1" showErrorMessage="1" promptTitle="Benefit #3 Description" prompt="Benefit #3 description is listed here" sqref="J235 J239 J243 J247 J251 J255 J259 J263 J267 J131 J275 J21 J62 J25 J29 J66 J70 J74 J33 J37 J41 J54 J78 J82 J58 J87 J91 J107 J95 J99 J135 J103 J139 J123 J46 J50 J115 J119 J127 J271 J143 J147 J151 J155 J159 J191 J163 J167 J171 J175 J179 J183 J187 J195 J199 J203 J207 J211 J215 J219 J223 J227 J231 J279 J283 J287 J291 J295 J299 J303 J307 J311 J315 J319 J323 J327 J331 J335 J339 J343 J347 J351 J355 J359 J363 J367 J371 J375 J379 J383 J387 J391 J395 J399 J403 J407 J411 J415 J419"/>
    <dataValidation allowBlank="1" showInputMessage="1" showErrorMessage="1" promptTitle="Benefit #3 Total Amount" prompt="The total amount of Benefit #3 is entered here." sqref="M235 M239 M243 M247 M251 M255 M259 M263 M267 M127 M275 M21 M62 M25 M29 M66 M70 M74 M33 M37 M41 M54 M78 M82 M58 M87 M91 M107 M95 M99 M131 M103 M135 M139 M46 M50 M115 M119 M123 M271 M143 M147 M151 M155 M159 M191 M163 M167 M171 M175 M179 M183 M187 M195 M199 M203 M207 M211 M215 M219 M223 M227 M231 M279 M283 M287 M291 M295 M299 M303 M307 M311 M315 M319 M323 M327 M331 M335 M339 M343 M347 M351 M355 M359 M363 M367 M371 M375 M379 M383 M387 M391 M395 M399 M403 M407 M411 M415 M419"/>
    <dataValidation allowBlank="1" showInputMessage="1" showErrorMessage="1" promptTitle="Benefit #2 Total Amount" prompt="The total amount of Benefit #2 is entered here." sqref="M234 M238 M242 M246 M250 M254 M258 M262 M266 M126 M274 M20 M24 M61 M28 M65 M69 M73 M32 M36 M40 M53 M57 M77 M85:M86 M90 M94 M81 M106 M98 M130 M102 M134 M138 M44:M45 M49 M114 M118 M122 M270 M142 M146 M150 M154 M158 M190 M162 M166 M170 M174 M178 M182 M186 M194 M198 M202 M206 M210 M214 M218 M222 M226 M230 M278 M282 M286 M290 M294 M298 M302 M306 M310 M314 M318 M322 M326 M330 M334 M338 M342 M346 M350 M354 M358 M362 M366 M370 M374 M378 M382 M386 M390 M394 M398 M402 M406 M410 M414 M418"/>
    <dataValidation allowBlank="1" showInputMessage="1" showErrorMessage="1" promptTitle="Benefit #2 Description" prompt="Benefit #2 description is listed here" sqref="J234 J238 J242 J246 J250 J254 J258 J262 J266 J134 J274 J20 J24 J61 J28 J32 J65 J69 J73 J36 J40 J53 J57 J85:J86 J77 J90 J94 J98 J81 J106 J270 J102 J138 J122 J44:J45 J49 J114 J118 J126 J130 J142 J146 J150 J154 J158 J190 J162 J166 J170 J174 J178 J182 J186 J194 J198 J202 J206 J210 J214 J218 J222 J226 J230 J278 J282 J286 J290 J294 J298 J302 J306 J310 J314 J318 J322 J326 J330 J334 J338 J342 J346 J350 J354 J358 J362 J366 J370 J374 J378 J382 J386 J390 J394 J398 J402 J406 J410 J414 J418"/>
    <dataValidation allowBlank="1" showInputMessage="1" showErrorMessage="1" promptTitle="Benefit #1 Total Amount" prompt="The total amount of Benefit #1 is entered here." sqref="M232:M233 M236:M237 M240:M241 M244:M245 M248:M249 M252:M253 M256:M257 M260:M261 M128:M129 M132:M133 M264:M265 M272:M273 M18:M19 M22:M23 M26:M27 M55:M56 M30:M31 M59:M60 M63:M64 M71:M72 M34:M35 M38:M39 M47:M48 M51:M52 M75:M76 M83:M84 M88:M89 M92:M93 M79:M80 M104:M105 M96:M97 M100:M101 M136:M137 M112:M113 M67:M68 M42:M43 M116:M117 M120:M121 M124:M125 M268:M269 M188:M189 M144:M145 M148:M149 M152:M153 M156:M157 M140:M141 M160:M161 M164:M165 M168:M169 M172:M173 M176:M177 M180:M181 M184:M185 M192:M193 M196:M197 M200:M201 M204:M205 M208:M209 M212:M213 M216:M217 M220:M221 M224:M225 M228:M229 M276:M277 M280:M281 M284:M285 M288:M289 M292:M293 M296:M297 M300:M301 M304:M305 M308:M309 M312:M313 M316:M317 M320:M321 M324:M325 M328:M329 M332:M333 M336:M337 M340:M341 M344:M345 M348:M349 M352:M353 M356:M357 M360:M361 M364:M365 M368:M369 M372:M373 M376:M377 M380:M381 M384:M385 M388:M389 M392:M393 M396:M397 M400:M401 M404:M405 M408:M409 M412:M413 M416:M417"/>
    <dataValidation allowBlank="1" showInputMessage="1" showErrorMessage="1" promptTitle="Benefit#1 Description" prompt="Benefit Description for Entry #1 is listed here." sqref="J232:J233 J236:J237 J240:J241 J244:J245 J248:J249 J252:J253 J256:J257 J260:J261 J128:J129 J132:J133 J264:J265 J272:J273 J18:J19 J22:J23 J26:J27 J55:J56 J30:J31 J59:J60 J63:J64 J71:J72 J34:J35 J38:J39 J47:J48 J51:J52 J75:J76 J83:J84 J88:J89 J92:J93 J79:J80 J104:J105 J96:J97 J100:J101 J136:J137 J112:J113 J67:J68 J42:J43 J116:J117 J120:J121 J124:J125 J268:J269 J188:J189 J144:J145 J148:J149 J152:J153 J156:J157 J140:J141 J160:J161 J164:J165 J168:J169 J172:J173 J176:J177 J180:J181 J184:J185 J192:J193 J196:J197 J200:J201 J204:J205 J208:J209 J212:J213 J216:J217 J220:J221 J224:J225 J228:J229 J276:J277 J280:J281 J284:J285 J288:J289 J292:J293 J296:J297 J300:J301 J304:J305 J308:J309 J312:J313 J316:J317 J320:J321 J324:J325 J328:J329 J332:J333 J336:J337 J340:J341 J344:J345 J348:J349 J352:J353 J356:J357 J360:J361 J364:J365 J368:J369 J372:J373 J376:J377 J380:J381 J384:J385 J388:J389 J392:J393 J396:J397 J400:J401 J404:J405 J408:J409 J412:J413 J416:J417"/>
    <dataValidation allowBlank="1" showInputMessage="1" showErrorMessage="1" promptTitle="Travel Date(s)" prompt="List the dates of travel here expressed in the format MM/DD/YYYY-MM/DD/YYYY." sqref="F235 F123 F239 F243 F247 F251 F255 F259 F263 F267 F275 F271 F21 F25 F29 F33 F62 F66 F70 F74 F37 F41 F54 F78 F82 F58 F87 F91 F95 F99 F107 F103 F127 F131 F135 F139 F46 F50 F115 F119 F143 F147 F151 F155 F191 F159 F163 F167 F171 F175 F179 F183 F187 F195 F199 F203 F207 F211 F215 F219 F223 F227 F231 F279 F283 F287 F291 F295 F299 F303 F307 F311 F315 F319 F323 F327 F331 F335 F339 F343 F347 F351 F355 D359 F363 F367 F371 F375 F379 F383 F387 F391 F395 F399 F403 F407 F411 F415 F419"/>
    <dataValidation type="date" allowBlank="1" showInputMessage="1" showErrorMessage="1" errorTitle="Data Entry Error" error="Please enter date using MM/DD/YYYY" promptTitle="Event Ending Date" prompt="List Event ending date here using the format MM/DD/YYYY." sqref="D123 D127 D235 D239 D243 D247 D251 D255 D259 D263 D267 D275 D21 D25 D29 D33 D62 D66 D70 D74 D37 D41 D54 D78 D82 D58 D87 D91 D95 D99 D107 D103 D131 D135 D139 D271 D46 D50 D115 D119 D143 D147 D151 D155 D159 D191 D163 D167 D171 D175 D179 D183 D187 D195 D199 D203 D207 D211 D215 D219 D223 D227 D231 D279 D283 D287 D291 D295 D299 D303 D307 D311 D315 D319 D323 D327 D331 D335 D339 D343 D347 D351 D355 D363 D367 D371 D375 D379 D383 D387 D391 D395 D399 D403 D407 D411 D415 D419">
      <formula1>40179</formula1>
      <formula2>73051</formula2>
    </dataValidation>
    <dataValidation allowBlank="1" showInputMessage="1" showErrorMessage="1" promptTitle="Event Sponsor" prompt="List the event sponsor here." sqref="C235 C239 C243 C247 C251 C255 C259 C263 C131 C135 C267 C275 C21 C25 C29 C33 C62 C66 C70 C74 C37 C41 C54 C78 C82 C58 C87 C91 C95 C99 C107 C103 C139 C271 C46 C50 C115 C119 C123 C127 C143 C147 C151 C155 C159 C191 C163 C167 C171 C175 C179 C183 C187 C195 C199 C203 C207 C211 C215 C219 C223 C227 C231 C279 C283 C287 C291 C295 C299 C303 C307 C311 C315 C319 C323 C327 C331 C335 C339 C343 C347 C351 C355 C359 C363 C367 C371 C375 C379 C383 C387 C391 C395 C399 C403 C407 C411 C415 C419"/>
    <dataValidation allowBlank="1" showInputMessage="1" showErrorMessage="1" promptTitle="Traveler Title" prompt="List traveler's title here." sqref="B235 B239 B243 B247 B251 B255 B259 B263 B267 B275 B21 B25 B29 B33 B62 B66 B70 B74 B37 B41 B78 B82 B107 B54 B58 B87 B91 B95 B99 B103 B131 B135 B139 B271 B46 B50 B115 B119 B123 B127 B143 B147 B151 B155 B159 B191 B163 B167 B171 B175 B179 B183 B187 B195 B199 B203 B207 B211 B215 B219 B223 B227 B231 B279 B283 B287 B291 B295 B299 B303 B307 B311 B315 B319 B323 B327 B331 B335 B339 B343 B347 B351 B355 B359 B363 B367 B371 B375 B379 B383 B387 B391 B395 B399 B403 B407 B411 B415 B419"/>
    <dataValidation allowBlank="1" showInputMessage="1" showErrorMessage="1" promptTitle="Location " prompt="List location of event here." sqref="F233 F237 F241 F245 F249 F253 F257 F261 F133 F269 F265 F273 F19 F23 F27 F31 F56 F35 F60 F64 F72 F39 F48 F52 F84 F76 F89 F93 F97 F80 F105 F101 F137 F113 F68 F43 F117 F121 F125 F129 F189 F145 F149 F153 F157 F141 F161 F165 F169 F173 F177 F181 F185 F193 F197 F201 F205 F209 F213 F217 F221 F225 F229 F277 F281 F285 F289 F293 F297 F301 F305 F309 F313 F317 F321 F325 F329 F333 F337 F341 F345 F349 F353 F357 F361 F365 F369 F373 F377 F381 F385 F389 F393 F397 F401 F405 F409 F413 F417"/>
    <dataValidation type="date" allowBlank="1" showInputMessage="1" showErrorMessage="1" errorTitle="Text Entered Not Valid" error="Please enter date using standardized format MM/DD/YYYY." promptTitle="Event Beginning Date" prompt="Insert event beginning date using the format MM/DD/YYYY here._x000a_" sqref="D233 D237 D241 D245 D249 D253 D257 D261 D265 D273 D19 D23 D27 D56 D31 D60 D64 D72 D35 D39 D48 D52 D76 D84 D89 D93 D80 D105 D97 D137 D113 D101 D68 D43 D117 D121 D125 D269 D129 D133 D189 D145 D149 D153 D157 D141 D161 D165 D169 D173 D177 D181 D185 D193 D197 D201 D205 D209 D213 D217 D221 D225 D229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Description" prompt="Provide event description (e.g. title of the conference) here." sqref="C233 C237 C241 C245 C249 C253 C257 C261 C265 C133 C273 C19 C23 C27 C31 C56 C35 C60 C64 C72 C39 C48 C52 C84 C76 C89 C93 C97 C80 C105 C269 C101 C137 C113 C68 C43 C117 C121 C125 C129 C189 C145 C141 C153 C157 C149 C161 C165 C169 C173 C177 C181 C185 C193 C197 C201 C205 C209 C213 C217 C221 C225 C229 C277 C281 C285 C289 C293 C297 C301 C305 C309 C313 C317 C321 C325 C329 C333 C337 C341 C345 C349 C353 C357 C361 C365 C369 C373 C377 C381 C385 C389 C393 C397 C401 C405 C409 C413 C417"/>
    <dataValidation allowBlank="1" showInputMessage="1" showErrorMessage="1" promptTitle="Traveler Name " prompt="List traveler's first and last name here." sqref="B113 B117 B121 B125 B129 B133 B141 B229 B257 B273 B277"/>
    <dataValidation allowBlank="1" showInputMessage="1" showErrorMessage="1" promptTitle="Next Traveler Name " prompt="List traveler's first and last name here." sqref="B137 B221 B225 B233 B237 B241 B245 B249 B253 B261 B265 B19 B60 B64 B68 B23 B27 B31 B35 B39 B72 B52 B56 B84 B89 B76 B80 B105 B93 B97 B101 B43 B269 B48 B145 B149 B153 B157 B189 B161 B165 B169 B173 B177 B181 B185 B193 B197 B201 B205 B209 B213 B217 B281 B285 B289 B293 B297 B301 B305 B309 B313 B317 B321 B325 B329 B333 B337 B341 B345 B349 B353 B357 B361 B365 B369 B373 B377 B381 B385 B389 B393 B397 B401 B405 B409 B413 B417"/>
  </dataValidations>
  <printOptions horizontalCentered="1" verticalCentered="1"/>
  <pageMargins left="0.5" right="0.5" top="0.3" bottom="0.4"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7"/>
  <sheetViews>
    <sheetView tabSelected="1" topLeftCell="A180" workbookViewId="0">
      <selection activeCell="A198" sqref="A198"/>
    </sheetView>
  </sheetViews>
  <sheetFormatPr defaultColWidth="8.7109375" defaultRowHeight="15"/>
  <cols>
    <col min="1" max="1" width="3.7109375" style="60" customWidth="1"/>
    <col min="2" max="2" width="16.42578125" style="60" customWidth="1"/>
    <col min="3" max="3" width="16.7109375" style="60" customWidth="1"/>
    <col min="4" max="4" width="15.85546875" style="60" customWidth="1"/>
    <col min="5" max="5" width="14.5703125" style="60" hidden="1" customWidth="1"/>
    <col min="6" max="6" width="16.5703125" style="60" customWidth="1"/>
    <col min="7" max="7" width="3.140625" style="60" customWidth="1"/>
    <col min="8" max="8" width="11" style="60" customWidth="1"/>
    <col min="9" max="9" width="3.140625" style="60" customWidth="1"/>
    <col min="10" max="10" width="11.85546875" style="60" customWidth="1"/>
    <col min="11" max="11" width="8.42578125" style="60" customWidth="1"/>
    <col min="12" max="12" width="8.5703125" style="60" bestFit="1" customWidth="1"/>
    <col min="13" max="13" width="11.140625" style="60" customWidth="1"/>
    <col min="14" max="14" width="3.7109375" style="60" customWidth="1"/>
    <col min="15" max="15" width="9.140625" style="60" customWidth="1"/>
    <col min="16" max="16" width="19.85546875" style="60" customWidth="1"/>
    <col min="17" max="17" width="11.28515625" style="60" customWidth="1"/>
    <col min="18" max="16384" width="8.7109375" style="60"/>
  </cols>
  <sheetData>
    <row r="1" spans="1:14" hidden="1"/>
    <row r="2" spans="1:14" ht="14.25" customHeight="1">
      <c r="J2" s="632" t="s">
        <v>0</v>
      </c>
      <c r="K2" s="551"/>
      <c r="L2" s="551"/>
      <c r="M2" s="551"/>
    </row>
    <row r="3" spans="1:14">
      <c r="J3" s="551"/>
      <c r="K3" s="551"/>
      <c r="L3" s="551"/>
      <c r="M3" s="551"/>
    </row>
    <row r="4" spans="1:14" ht="15.75" thickBot="1">
      <c r="A4" s="61"/>
      <c r="B4" s="61"/>
      <c r="C4" s="61"/>
      <c r="D4" s="61"/>
      <c r="E4" s="61"/>
      <c r="F4" s="61"/>
      <c r="G4" s="61"/>
      <c r="H4" s="61"/>
      <c r="I4" s="61"/>
      <c r="J4" s="633"/>
      <c r="K4" s="633"/>
      <c r="L4" s="633"/>
      <c r="M4" s="633"/>
    </row>
    <row r="5" spans="1:14" ht="30" customHeight="1" thickTop="1" thickBot="1">
      <c r="A5" s="634" t="s">
        <v>236</v>
      </c>
      <c r="B5" s="635"/>
      <c r="C5" s="635"/>
      <c r="D5" s="635"/>
      <c r="E5" s="635"/>
      <c r="F5" s="635"/>
      <c r="G5" s="635"/>
      <c r="H5" s="635"/>
      <c r="I5" s="635"/>
      <c r="J5" s="635"/>
      <c r="K5" s="635"/>
      <c r="L5" s="635"/>
      <c r="M5" s="636"/>
      <c r="N5" s="61"/>
    </row>
    <row r="6" spans="1:14">
      <c r="A6" s="799" t="s">
        <v>1</v>
      </c>
      <c r="B6" s="639" t="s">
        <v>2</v>
      </c>
      <c r="C6" s="640"/>
      <c r="D6" s="640"/>
      <c r="E6" s="640"/>
      <c r="F6" s="640"/>
      <c r="G6" s="640"/>
      <c r="H6" s="640"/>
      <c r="I6" s="640"/>
      <c r="J6" s="641"/>
      <c r="K6" s="2" t="s">
        <v>3</v>
      </c>
      <c r="L6" s="2" t="s">
        <v>4</v>
      </c>
      <c r="M6" s="26" t="s">
        <v>5</v>
      </c>
      <c r="N6" s="61"/>
    </row>
    <row r="7" spans="1:14" ht="15.75" thickBot="1">
      <c r="A7" s="637"/>
      <c r="B7" s="642"/>
      <c r="C7" s="643"/>
      <c r="D7" s="643"/>
      <c r="E7" s="643"/>
      <c r="F7" s="643"/>
      <c r="G7" s="643"/>
      <c r="H7" s="643"/>
      <c r="I7" s="643"/>
      <c r="J7" s="644"/>
      <c r="K7" s="3">
        <v>4</v>
      </c>
      <c r="L7" s="4">
        <v>4</v>
      </c>
      <c r="M7" s="5">
        <v>2018</v>
      </c>
      <c r="N7" s="37"/>
    </row>
    <row r="8" spans="1:14" ht="27.75" customHeight="1" thickTop="1" thickBot="1">
      <c r="A8" s="637"/>
      <c r="B8" s="674" t="s">
        <v>6</v>
      </c>
      <c r="C8" s="675"/>
      <c r="D8" s="675"/>
      <c r="E8" s="675"/>
      <c r="F8" s="675"/>
      <c r="G8" s="675"/>
      <c r="H8" s="675"/>
      <c r="I8" s="675"/>
      <c r="J8" s="675"/>
      <c r="K8" s="675"/>
      <c r="L8" s="675"/>
      <c r="M8" s="676"/>
      <c r="N8" s="38"/>
    </row>
    <row r="9" spans="1:14" ht="18">
      <c r="A9" s="637"/>
      <c r="B9" s="645" t="s">
        <v>93</v>
      </c>
      <c r="C9" s="646"/>
      <c r="D9" s="646"/>
      <c r="E9" s="646"/>
      <c r="F9" s="647"/>
      <c r="G9" s="677"/>
      <c r="H9" s="652" t="s">
        <v>132</v>
      </c>
      <c r="I9" s="680" t="s">
        <v>42</v>
      </c>
      <c r="J9" s="654" t="s">
        <v>133</v>
      </c>
      <c r="K9" s="617"/>
      <c r="L9" s="622" t="s">
        <v>15</v>
      </c>
      <c r="M9" s="623"/>
      <c r="N9" s="61"/>
    </row>
    <row r="10" spans="1:14" ht="15.75">
      <c r="A10" s="637"/>
      <c r="B10" s="648"/>
      <c r="C10" s="537"/>
      <c r="D10" s="537"/>
      <c r="E10" s="537"/>
      <c r="F10" s="649"/>
      <c r="G10" s="678"/>
      <c r="H10" s="653"/>
      <c r="I10" s="681"/>
      <c r="J10" s="655"/>
      <c r="K10" s="618"/>
      <c r="L10" s="624"/>
      <c r="M10" s="625"/>
      <c r="N10" s="61"/>
    </row>
    <row r="11" spans="1:14" ht="39.75" thickBot="1">
      <c r="A11" s="637"/>
      <c r="B11" s="6" t="s">
        <v>7</v>
      </c>
      <c r="C11" s="7" t="s">
        <v>94</v>
      </c>
      <c r="D11" s="650" t="s">
        <v>95</v>
      </c>
      <c r="E11" s="650"/>
      <c r="F11" s="651"/>
      <c r="G11" s="679"/>
      <c r="H11" s="653"/>
      <c r="I11" s="682"/>
      <c r="J11" s="656"/>
      <c r="K11" s="619"/>
      <c r="L11" s="626"/>
      <c r="M11" s="627"/>
      <c r="N11" s="61"/>
    </row>
    <row r="12" spans="1:14" ht="15.75" thickTop="1">
      <c r="A12" s="637"/>
      <c r="B12" s="657" t="s">
        <v>8</v>
      </c>
      <c r="C12" s="659" t="s">
        <v>9</v>
      </c>
      <c r="D12" s="661" t="s">
        <v>10</v>
      </c>
      <c r="E12" s="663" t="s">
        <v>11</v>
      </c>
      <c r="F12" s="664"/>
      <c r="G12" s="667" t="s">
        <v>12</v>
      </c>
      <c r="H12" s="668"/>
      <c r="I12" s="669"/>
      <c r="J12" s="659" t="s">
        <v>13</v>
      </c>
      <c r="K12" s="620" t="s">
        <v>14</v>
      </c>
      <c r="L12" s="628" t="s">
        <v>16</v>
      </c>
      <c r="M12" s="630" t="s">
        <v>17</v>
      </c>
      <c r="N12" s="61"/>
    </row>
    <row r="13" spans="1:14" ht="33.75" customHeight="1" thickBot="1">
      <c r="A13" s="638"/>
      <c r="B13" s="658"/>
      <c r="C13" s="660"/>
      <c r="D13" s="662"/>
      <c r="E13" s="665"/>
      <c r="F13" s="666"/>
      <c r="G13" s="670"/>
      <c r="H13" s="671"/>
      <c r="I13" s="672"/>
      <c r="J13" s="673"/>
      <c r="K13" s="621"/>
      <c r="L13" s="629"/>
      <c r="M13" s="631"/>
      <c r="N13" s="61"/>
    </row>
    <row r="14" spans="1:14" ht="23.25" thickTop="1">
      <c r="A14" s="613" t="s">
        <v>18</v>
      </c>
      <c r="B14" s="62" t="s">
        <v>19</v>
      </c>
      <c r="C14" s="62" t="s">
        <v>20</v>
      </c>
      <c r="D14" s="62" t="s">
        <v>21</v>
      </c>
      <c r="E14" s="542" t="s">
        <v>22</v>
      </c>
      <c r="F14" s="542"/>
      <c r="G14" s="523" t="s">
        <v>12</v>
      </c>
      <c r="H14" s="528"/>
      <c r="I14" s="64"/>
      <c r="J14" s="29"/>
      <c r="K14" s="29"/>
      <c r="L14" s="29"/>
      <c r="M14" s="28"/>
      <c r="N14" s="61"/>
    </row>
    <row r="15" spans="1:14" ht="22.5">
      <c r="A15" s="797"/>
      <c r="B15" s="9" t="s">
        <v>23</v>
      </c>
      <c r="C15" s="9" t="s">
        <v>24</v>
      </c>
      <c r="D15" s="10">
        <v>40766</v>
      </c>
      <c r="E15" s="11"/>
      <c r="F15" s="12" t="s">
        <v>25</v>
      </c>
      <c r="G15" s="607" t="s">
        <v>26</v>
      </c>
      <c r="H15" s="608"/>
      <c r="I15" s="609"/>
      <c r="J15" s="13" t="s">
        <v>27</v>
      </c>
      <c r="K15" s="14"/>
      <c r="L15" s="15" t="s">
        <v>28</v>
      </c>
      <c r="M15" s="31">
        <v>280</v>
      </c>
      <c r="N15" s="61"/>
    </row>
    <row r="16" spans="1:14" ht="22.5">
      <c r="A16" s="797"/>
      <c r="B16" s="63" t="s">
        <v>29</v>
      </c>
      <c r="C16" s="63" t="s">
        <v>30</v>
      </c>
      <c r="D16" s="63" t="s">
        <v>31</v>
      </c>
      <c r="E16" s="616" t="s">
        <v>32</v>
      </c>
      <c r="F16" s="616"/>
      <c r="G16" s="610"/>
      <c r="H16" s="611"/>
      <c r="I16" s="612"/>
      <c r="J16" s="16" t="s">
        <v>33</v>
      </c>
      <c r="K16" s="15" t="s">
        <v>28</v>
      </c>
      <c r="L16" s="17"/>
      <c r="M16" s="32">
        <v>825</v>
      </c>
      <c r="N16" s="61"/>
    </row>
    <row r="17" spans="1:14" ht="15.75" thickBot="1">
      <c r="A17" s="798"/>
      <c r="B17" s="18" t="s">
        <v>34</v>
      </c>
      <c r="C17" s="18" t="s">
        <v>35</v>
      </c>
      <c r="D17" s="10">
        <v>40767</v>
      </c>
      <c r="E17" s="19" t="s">
        <v>36</v>
      </c>
      <c r="F17" s="12" t="s">
        <v>37</v>
      </c>
      <c r="G17" s="539"/>
      <c r="H17" s="540"/>
      <c r="I17" s="541"/>
      <c r="J17" s="20" t="s">
        <v>38</v>
      </c>
      <c r="K17" s="21"/>
      <c r="L17" s="21" t="s">
        <v>28</v>
      </c>
      <c r="M17" s="27">
        <v>120</v>
      </c>
      <c r="N17" s="61"/>
    </row>
    <row r="18" spans="1:14" s="152" customFormat="1" ht="24" customHeight="1" thickTop="1" thickBot="1">
      <c r="A18" s="518">
        <f>A13+301</f>
        <v>301</v>
      </c>
      <c r="B18" s="150" t="s">
        <v>19</v>
      </c>
      <c r="C18" s="150" t="s">
        <v>20</v>
      </c>
      <c r="D18" s="150" t="s">
        <v>21</v>
      </c>
      <c r="E18" s="523" t="s">
        <v>22</v>
      </c>
      <c r="F18" s="523"/>
      <c r="G18" s="523" t="s">
        <v>12</v>
      </c>
      <c r="H18" s="528"/>
      <c r="I18" s="164"/>
      <c r="J18" s="126" t="s">
        <v>39</v>
      </c>
      <c r="K18" s="127"/>
      <c r="L18" s="127"/>
      <c r="M18" s="22"/>
    </row>
    <row r="19" spans="1:14" s="152" customFormat="1" ht="15.75" thickBot="1">
      <c r="A19" s="521"/>
      <c r="B19" s="128" t="s">
        <v>1413</v>
      </c>
      <c r="C19" s="128" t="s">
        <v>1408</v>
      </c>
      <c r="D19" s="129">
        <v>43246</v>
      </c>
      <c r="E19" s="128"/>
      <c r="F19" s="128" t="s">
        <v>1409</v>
      </c>
      <c r="G19" s="524" t="s">
        <v>1410</v>
      </c>
      <c r="H19" s="525"/>
      <c r="I19" s="526"/>
      <c r="J19" s="130" t="s">
        <v>108</v>
      </c>
      <c r="K19" s="130" t="s">
        <v>28</v>
      </c>
      <c r="L19" s="130"/>
      <c r="M19" s="65">
        <v>372</v>
      </c>
    </row>
    <row r="20" spans="1:14" s="152" customFormat="1" ht="23.25" thickBot="1">
      <c r="A20" s="521"/>
      <c r="B20" s="153" t="s">
        <v>29</v>
      </c>
      <c r="C20" s="153" t="s">
        <v>30</v>
      </c>
      <c r="D20" s="153" t="s">
        <v>31</v>
      </c>
      <c r="E20" s="527" t="s">
        <v>32</v>
      </c>
      <c r="F20" s="527"/>
      <c r="G20" s="529"/>
      <c r="H20" s="530"/>
      <c r="I20" s="531"/>
      <c r="J20" s="131" t="s">
        <v>127</v>
      </c>
      <c r="K20" s="132" t="s">
        <v>28</v>
      </c>
      <c r="L20" s="132"/>
      <c r="M20" s="66">
        <v>145</v>
      </c>
    </row>
    <row r="21" spans="1:14" s="152" customFormat="1" ht="23.25" thickBot="1">
      <c r="A21" s="522"/>
      <c r="B21" s="133" t="s">
        <v>117</v>
      </c>
      <c r="C21" s="133" t="s">
        <v>1411</v>
      </c>
      <c r="D21" s="144">
        <v>43247</v>
      </c>
      <c r="E21" s="135" t="s">
        <v>36</v>
      </c>
      <c r="F21" s="25" t="s">
        <v>1412</v>
      </c>
      <c r="G21" s="539"/>
      <c r="H21" s="540"/>
      <c r="I21" s="541"/>
      <c r="J21" s="131" t="s">
        <v>38</v>
      </c>
      <c r="K21" s="132" t="s">
        <v>28</v>
      </c>
      <c r="L21" s="132"/>
      <c r="M21" s="68">
        <v>229.5</v>
      </c>
    </row>
    <row r="22" spans="1:14" s="152" customFormat="1" ht="24" customHeight="1" thickTop="1" thickBot="1">
      <c r="A22" s="518">
        <f>A21+302</f>
        <v>302</v>
      </c>
      <c r="B22" s="150" t="s">
        <v>19</v>
      </c>
      <c r="C22" s="150" t="s">
        <v>20</v>
      </c>
      <c r="D22" s="150" t="s">
        <v>21</v>
      </c>
      <c r="E22" s="523" t="s">
        <v>22</v>
      </c>
      <c r="F22" s="523"/>
      <c r="G22" s="523" t="s">
        <v>12</v>
      </c>
      <c r="H22" s="528"/>
      <c r="I22" s="164"/>
      <c r="J22" s="126" t="s">
        <v>39</v>
      </c>
      <c r="K22" s="127"/>
      <c r="L22" s="127"/>
      <c r="M22" s="22"/>
    </row>
    <row r="23" spans="1:14" s="152" customFormat="1" ht="15.75" thickBot="1">
      <c r="A23" s="521"/>
      <c r="B23" s="128" t="s">
        <v>1414</v>
      </c>
      <c r="C23" s="128" t="s">
        <v>1408</v>
      </c>
      <c r="D23" s="129">
        <v>43246</v>
      </c>
      <c r="E23" s="128"/>
      <c r="F23" s="128" t="s">
        <v>1409</v>
      </c>
      <c r="G23" s="524" t="s">
        <v>1410</v>
      </c>
      <c r="H23" s="525"/>
      <c r="I23" s="526"/>
      <c r="J23" s="130" t="s">
        <v>108</v>
      </c>
      <c r="K23" s="130" t="s">
        <v>28</v>
      </c>
      <c r="L23" s="130"/>
      <c r="M23" s="65">
        <v>372</v>
      </c>
    </row>
    <row r="24" spans="1:14" s="152" customFormat="1" ht="23.25" thickBot="1">
      <c r="A24" s="521"/>
      <c r="B24" s="153" t="s">
        <v>29</v>
      </c>
      <c r="C24" s="153" t="s">
        <v>30</v>
      </c>
      <c r="D24" s="153" t="s">
        <v>31</v>
      </c>
      <c r="E24" s="527" t="s">
        <v>32</v>
      </c>
      <c r="F24" s="527"/>
      <c r="G24" s="529"/>
      <c r="H24" s="530"/>
      <c r="I24" s="531"/>
      <c r="J24" s="131" t="s">
        <v>127</v>
      </c>
      <c r="K24" s="132" t="s">
        <v>28</v>
      </c>
      <c r="L24" s="132"/>
      <c r="M24" s="66">
        <v>145</v>
      </c>
    </row>
    <row r="25" spans="1:14" s="152" customFormat="1" ht="23.25" thickBot="1">
      <c r="A25" s="522"/>
      <c r="B25" s="133" t="s">
        <v>101</v>
      </c>
      <c r="C25" s="133" t="s">
        <v>1411</v>
      </c>
      <c r="D25" s="144">
        <v>43247</v>
      </c>
      <c r="E25" s="135" t="s">
        <v>36</v>
      </c>
      <c r="F25" s="25" t="s">
        <v>1412</v>
      </c>
      <c r="G25" s="539"/>
      <c r="H25" s="540"/>
      <c r="I25" s="541"/>
      <c r="J25" s="131" t="s">
        <v>38</v>
      </c>
      <c r="K25" s="132" t="s">
        <v>28</v>
      </c>
      <c r="L25" s="132"/>
      <c r="M25" s="68">
        <v>229.5</v>
      </c>
    </row>
    <row r="26" spans="1:14" s="152" customFormat="1" ht="24" customHeight="1" thickTop="1" thickBot="1">
      <c r="A26" s="518">
        <f>A25+303</f>
        <v>303</v>
      </c>
      <c r="B26" s="150" t="s">
        <v>19</v>
      </c>
      <c r="C26" s="150" t="s">
        <v>20</v>
      </c>
      <c r="D26" s="150" t="s">
        <v>21</v>
      </c>
      <c r="E26" s="523" t="s">
        <v>22</v>
      </c>
      <c r="F26" s="523"/>
      <c r="G26" s="523" t="s">
        <v>12</v>
      </c>
      <c r="H26" s="528"/>
      <c r="I26" s="164"/>
      <c r="J26" s="126" t="s">
        <v>39</v>
      </c>
      <c r="K26" s="127"/>
      <c r="L26" s="127"/>
      <c r="M26" s="22"/>
    </row>
    <row r="27" spans="1:14" s="152" customFormat="1" ht="15.75" thickBot="1">
      <c r="A27" s="521"/>
      <c r="B27" s="128" t="s">
        <v>1415</v>
      </c>
      <c r="C27" s="128" t="s">
        <v>1408</v>
      </c>
      <c r="D27" s="129">
        <v>43246</v>
      </c>
      <c r="E27" s="128"/>
      <c r="F27" s="128" t="s">
        <v>1409</v>
      </c>
      <c r="G27" s="524" t="s">
        <v>1410</v>
      </c>
      <c r="H27" s="525"/>
      <c r="I27" s="526"/>
      <c r="J27" s="130" t="s">
        <v>108</v>
      </c>
      <c r="K27" s="130" t="s">
        <v>28</v>
      </c>
      <c r="L27" s="130"/>
      <c r="M27" s="65">
        <v>372</v>
      </c>
    </row>
    <row r="28" spans="1:14" s="152" customFormat="1" ht="23.25" thickBot="1">
      <c r="A28" s="521"/>
      <c r="B28" s="153" t="s">
        <v>29</v>
      </c>
      <c r="C28" s="153" t="s">
        <v>30</v>
      </c>
      <c r="D28" s="153" t="s">
        <v>31</v>
      </c>
      <c r="E28" s="527" t="s">
        <v>32</v>
      </c>
      <c r="F28" s="527"/>
      <c r="G28" s="529"/>
      <c r="H28" s="530"/>
      <c r="I28" s="531"/>
      <c r="J28" s="131" t="s">
        <v>127</v>
      </c>
      <c r="K28" s="132" t="s">
        <v>28</v>
      </c>
      <c r="L28" s="132"/>
      <c r="M28" s="66">
        <v>145</v>
      </c>
    </row>
    <row r="29" spans="1:14" s="152" customFormat="1" ht="23.25" thickBot="1">
      <c r="A29" s="522"/>
      <c r="B29" s="133" t="s">
        <v>101</v>
      </c>
      <c r="C29" s="133" t="s">
        <v>1411</v>
      </c>
      <c r="D29" s="144">
        <v>43247</v>
      </c>
      <c r="E29" s="135" t="s">
        <v>36</v>
      </c>
      <c r="F29" s="25" t="s">
        <v>1412</v>
      </c>
      <c r="G29" s="539"/>
      <c r="H29" s="540"/>
      <c r="I29" s="541"/>
      <c r="J29" s="131" t="s">
        <v>38</v>
      </c>
      <c r="K29" s="132" t="s">
        <v>28</v>
      </c>
      <c r="L29" s="132"/>
      <c r="M29" s="68">
        <v>229.5</v>
      </c>
    </row>
    <row r="30" spans="1:14" s="152" customFormat="1" ht="24" customHeight="1" thickTop="1" thickBot="1">
      <c r="A30" s="518">
        <f>A29+304</f>
        <v>304</v>
      </c>
      <c r="B30" s="150" t="s">
        <v>19</v>
      </c>
      <c r="C30" s="150" t="s">
        <v>20</v>
      </c>
      <c r="D30" s="150" t="s">
        <v>21</v>
      </c>
      <c r="E30" s="523" t="s">
        <v>22</v>
      </c>
      <c r="F30" s="523"/>
      <c r="G30" s="523" t="s">
        <v>12</v>
      </c>
      <c r="H30" s="528"/>
      <c r="I30" s="164"/>
      <c r="J30" s="126" t="s">
        <v>39</v>
      </c>
      <c r="K30" s="127"/>
      <c r="L30" s="127"/>
      <c r="M30" s="22"/>
    </row>
    <row r="31" spans="1:14" s="152" customFormat="1" ht="15.75" thickBot="1">
      <c r="A31" s="521"/>
      <c r="B31" s="128" t="s">
        <v>128</v>
      </c>
      <c r="C31" s="128" t="s">
        <v>1408</v>
      </c>
      <c r="D31" s="129">
        <v>43246</v>
      </c>
      <c r="E31" s="128"/>
      <c r="F31" s="128" t="s">
        <v>1409</v>
      </c>
      <c r="G31" s="524" t="s">
        <v>1410</v>
      </c>
      <c r="H31" s="525"/>
      <c r="I31" s="526"/>
      <c r="J31" s="130" t="s">
        <v>108</v>
      </c>
      <c r="K31" s="130" t="s">
        <v>28</v>
      </c>
      <c r="L31" s="130"/>
      <c r="M31" s="65">
        <v>372</v>
      </c>
    </row>
    <row r="32" spans="1:14" s="152" customFormat="1" ht="23.25" thickBot="1">
      <c r="A32" s="521"/>
      <c r="B32" s="153" t="s">
        <v>29</v>
      </c>
      <c r="C32" s="153" t="s">
        <v>30</v>
      </c>
      <c r="D32" s="153" t="s">
        <v>31</v>
      </c>
      <c r="E32" s="527" t="s">
        <v>32</v>
      </c>
      <c r="F32" s="527"/>
      <c r="G32" s="529"/>
      <c r="H32" s="530"/>
      <c r="I32" s="531"/>
      <c r="J32" s="131" t="s">
        <v>127</v>
      </c>
      <c r="K32" s="132" t="s">
        <v>28</v>
      </c>
      <c r="L32" s="132"/>
      <c r="M32" s="66">
        <v>145</v>
      </c>
    </row>
    <row r="33" spans="1:13" s="152" customFormat="1" ht="23.25" thickBot="1">
      <c r="A33" s="522"/>
      <c r="B33" s="133" t="s">
        <v>101</v>
      </c>
      <c r="C33" s="133" t="s">
        <v>1411</v>
      </c>
      <c r="D33" s="144">
        <v>43247</v>
      </c>
      <c r="E33" s="135" t="s">
        <v>36</v>
      </c>
      <c r="F33" s="25" t="s">
        <v>1412</v>
      </c>
      <c r="G33" s="539"/>
      <c r="H33" s="540"/>
      <c r="I33" s="541"/>
      <c r="J33" s="131" t="s">
        <v>38</v>
      </c>
      <c r="K33" s="132" t="s">
        <v>28</v>
      </c>
      <c r="L33" s="132"/>
      <c r="M33" s="68">
        <v>229.5</v>
      </c>
    </row>
    <row r="34" spans="1:13" s="152" customFormat="1" ht="24" customHeight="1" thickTop="1" thickBot="1">
      <c r="A34" s="518">
        <f>A33+305</f>
        <v>305</v>
      </c>
      <c r="B34" s="150" t="s">
        <v>19</v>
      </c>
      <c r="C34" s="150" t="s">
        <v>20</v>
      </c>
      <c r="D34" s="150" t="s">
        <v>21</v>
      </c>
      <c r="E34" s="523" t="s">
        <v>22</v>
      </c>
      <c r="F34" s="523"/>
      <c r="G34" s="523" t="s">
        <v>12</v>
      </c>
      <c r="H34" s="528"/>
      <c r="I34" s="164"/>
      <c r="J34" s="126" t="s">
        <v>39</v>
      </c>
      <c r="K34" s="127"/>
      <c r="L34" s="127"/>
      <c r="M34" s="22"/>
    </row>
    <row r="35" spans="1:13" s="152" customFormat="1" ht="15.75" thickBot="1">
      <c r="A35" s="521"/>
      <c r="B35" s="128" t="s">
        <v>129</v>
      </c>
      <c r="C35" s="128" t="s">
        <v>1408</v>
      </c>
      <c r="D35" s="129">
        <v>43246</v>
      </c>
      <c r="E35" s="128"/>
      <c r="F35" s="128" t="s">
        <v>1409</v>
      </c>
      <c r="G35" s="524" t="s">
        <v>1410</v>
      </c>
      <c r="H35" s="525"/>
      <c r="I35" s="526"/>
      <c r="J35" s="130" t="s">
        <v>108</v>
      </c>
      <c r="K35" s="130" t="s">
        <v>28</v>
      </c>
      <c r="L35" s="130"/>
      <c r="M35" s="65">
        <v>372</v>
      </c>
    </row>
    <row r="36" spans="1:13" s="152" customFormat="1" ht="23.25" thickBot="1">
      <c r="A36" s="521"/>
      <c r="B36" s="153" t="s">
        <v>29</v>
      </c>
      <c r="C36" s="153" t="s">
        <v>30</v>
      </c>
      <c r="D36" s="153" t="s">
        <v>31</v>
      </c>
      <c r="E36" s="527" t="s">
        <v>32</v>
      </c>
      <c r="F36" s="527"/>
      <c r="G36" s="529"/>
      <c r="H36" s="530"/>
      <c r="I36" s="531"/>
      <c r="J36" s="131" t="s">
        <v>127</v>
      </c>
      <c r="K36" s="132" t="s">
        <v>28</v>
      </c>
      <c r="L36" s="132"/>
      <c r="M36" s="66">
        <v>145</v>
      </c>
    </row>
    <row r="37" spans="1:13" s="152" customFormat="1" ht="23.25" thickBot="1">
      <c r="A37" s="522"/>
      <c r="B37" s="133" t="s">
        <v>101</v>
      </c>
      <c r="C37" s="133" t="s">
        <v>1411</v>
      </c>
      <c r="D37" s="144">
        <v>43247</v>
      </c>
      <c r="E37" s="135" t="s">
        <v>36</v>
      </c>
      <c r="F37" s="25" t="s">
        <v>1416</v>
      </c>
      <c r="G37" s="539"/>
      <c r="H37" s="540"/>
      <c r="I37" s="541"/>
      <c r="J37" s="131" t="s">
        <v>38</v>
      </c>
      <c r="K37" s="132" t="s">
        <v>28</v>
      </c>
      <c r="L37" s="132"/>
      <c r="M37" s="68">
        <v>229.5</v>
      </c>
    </row>
    <row r="38" spans="1:13" s="152" customFormat="1" ht="24" customHeight="1" thickTop="1" thickBot="1">
      <c r="A38" s="518">
        <f>A37+306</f>
        <v>306</v>
      </c>
      <c r="B38" s="150" t="s">
        <v>19</v>
      </c>
      <c r="C38" s="150" t="s">
        <v>20</v>
      </c>
      <c r="D38" s="150" t="s">
        <v>21</v>
      </c>
      <c r="E38" s="523" t="s">
        <v>22</v>
      </c>
      <c r="F38" s="523"/>
      <c r="G38" s="523" t="s">
        <v>12</v>
      </c>
      <c r="H38" s="528"/>
      <c r="I38" s="164"/>
      <c r="J38" s="126" t="s">
        <v>39</v>
      </c>
      <c r="K38" s="127"/>
      <c r="L38" s="127"/>
      <c r="M38" s="22"/>
    </row>
    <row r="39" spans="1:13" s="152" customFormat="1" ht="15.75" thickBot="1">
      <c r="A39" s="521"/>
      <c r="B39" s="128" t="s">
        <v>131</v>
      </c>
      <c r="C39" s="128" t="s">
        <v>1408</v>
      </c>
      <c r="D39" s="129">
        <v>43246</v>
      </c>
      <c r="E39" s="128"/>
      <c r="F39" s="128" t="s">
        <v>1409</v>
      </c>
      <c r="G39" s="524" t="s">
        <v>1410</v>
      </c>
      <c r="H39" s="525"/>
      <c r="I39" s="526"/>
      <c r="J39" s="130" t="s">
        <v>108</v>
      </c>
      <c r="K39" s="130" t="s">
        <v>28</v>
      </c>
      <c r="L39" s="130"/>
      <c r="M39" s="65">
        <v>372</v>
      </c>
    </row>
    <row r="40" spans="1:13" s="152" customFormat="1" ht="23.25" thickBot="1">
      <c r="A40" s="521"/>
      <c r="B40" s="153" t="s">
        <v>29</v>
      </c>
      <c r="C40" s="153" t="s">
        <v>30</v>
      </c>
      <c r="D40" s="153" t="s">
        <v>31</v>
      </c>
      <c r="E40" s="527" t="s">
        <v>32</v>
      </c>
      <c r="F40" s="527"/>
      <c r="G40" s="529"/>
      <c r="H40" s="530"/>
      <c r="I40" s="531"/>
      <c r="J40" s="131" t="s">
        <v>127</v>
      </c>
      <c r="K40" s="132" t="s">
        <v>28</v>
      </c>
      <c r="L40" s="132"/>
      <c r="M40" s="66">
        <v>145</v>
      </c>
    </row>
    <row r="41" spans="1:13" s="152" customFormat="1" ht="23.25" thickBot="1">
      <c r="A41" s="522"/>
      <c r="B41" s="133" t="s">
        <v>101</v>
      </c>
      <c r="C41" s="133" t="s">
        <v>1411</v>
      </c>
      <c r="D41" s="144">
        <v>43247</v>
      </c>
      <c r="E41" s="135" t="s">
        <v>36</v>
      </c>
      <c r="F41" s="25" t="s">
        <v>1412</v>
      </c>
      <c r="G41" s="539"/>
      <c r="H41" s="540"/>
      <c r="I41" s="541"/>
      <c r="J41" s="131" t="s">
        <v>38</v>
      </c>
      <c r="K41" s="132" t="s">
        <v>28</v>
      </c>
      <c r="L41" s="132"/>
      <c r="M41" s="68">
        <v>229.5</v>
      </c>
    </row>
    <row r="42" spans="1:13" s="152" customFormat="1" ht="24" customHeight="1" thickTop="1" thickBot="1">
      <c r="A42" s="518">
        <v>307</v>
      </c>
      <c r="B42" s="150" t="s">
        <v>19</v>
      </c>
      <c r="C42" s="150" t="s">
        <v>20</v>
      </c>
      <c r="D42" s="150" t="s">
        <v>21</v>
      </c>
      <c r="E42" s="523" t="s">
        <v>22</v>
      </c>
      <c r="F42" s="523"/>
      <c r="G42" s="523" t="s">
        <v>12</v>
      </c>
      <c r="H42" s="528"/>
      <c r="I42" s="164"/>
      <c r="J42" s="126" t="s">
        <v>39</v>
      </c>
      <c r="K42" s="127"/>
      <c r="L42" s="127"/>
      <c r="M42" s="22"/>
    </row>
    <row r="43" spans="1:13" s="152" customFormat="1" ht="15.75" thickBot="1">
      <c r="A43" s="521"/>
      <c r="B43" s="128" t="s">
        <v>1417</v>
      </c>
      <c r="C43" s="128" t="s">
        <v>1408</v>
      </c>
      <c r="D43" s="129">
        <v>43246</v>
      </c>
      <c r="E43" s="128"/>
      <c r="F43" s="128" t="s">
        <v>1409</v>
      </c>
      <c r="G43" s="524" t="s">
        <v>1410</v>
      </c>
      <c r="H43" s="525"/>
      <c r="I43" s="526"/>
      <c r="J43" s="130" t="s">
        <v>108</v>
      </c>
      <c r="K43" s="130" t="s">
        <v>28</v>
      </c>
      <c r="L43" s="130"/>
      <c r="M43" s="65">
        <v>372</v>
      </c>
    </row>
    <row r="44" spans="1:13" s="152" customFormat="1" ht="23.25" thickBot="1">
      <c r="A44" s="521"/>
      <c r="B44" s="153" t="s">
        <v>29</v>
      </c>
      <c r="C44" s="153" t="s">
        <v>30</v>
      </c>
      <c r="D44" s="153" t="s">
        <v>31</v>
      </c>
      <c r="E44" s="527" t="s">
        <v>32</v>
      </c>
      <c r="F44" s="527"/>
      <c r="G44" s="529"/>
      <c r="H44" s="530"/>
      <c r="I44" s="531"/>
      <c r="J44" s="131" t="s">
        <v>127</v>
      </c>
      <c r="K44" s="132" t="s">
        <v>28</v>
      </c>
      <c r="L44" s="132"/>
      <c r="M44" s="66">
        <v>145</v>
      </c>
    </row>
    <row r="45" spans="1:13" s="152" customFormat="1" ht="23.25" thickBot="1">
      <c r="A45" s="522"/>
      <c r="B45" s="133" t="s">
        <v>101</v>
      </c>
      <c r="C45" s="133" t="s">
        <v>1411</v>
      </c>
      <c r="D45" s="144">
        <v>43247</v>
      </c>
      <c r="E45" s="135" t="s">
        <v>36</v>
      </c>
      <c r="F45" s="25" t="s">
        <v>1412</v>
      </c>
      <c r="G45" s="539"/>
      <c r="H45" s="540"/>
      <c r="I45" s="541"/>
      <c r="J45" s="131" t="s">
        <v>38</v>
      </c>
      <c r="K45" s="132" t="s">
        <v>28</v>
      </c>
      <c r="L45" s="132"/>
      <c r="M45" s="68">
        <v>229.5</v>
      </c>
    </row>
    <row r="46" spans="1:13" s="152" customFormat="1" ht="24" customHeight="1" thickTop="1" thickBot="1">
      <c r="A46" s="518">
        <v>308</v>
      </c>
      <c r="B46" s="150" t="s">
        <v>19</v>
      </c>
      <c r="C46" s="150" t="s">
        <v>20</v>
      </c>
      <c r="D46" s="150" t="s">
        <v>21</v>
      </c>
      <c r="E46" s="523" t="s">
        <v>22</v>
      </c>
      <c r="F46" s="523"/>
      <c r="G46" s="523" t="s">
        <v>12</v>
      </c>
      <c r="H46" s="528"/>
      <c r="I46" s="164"/>
      <c r="J46" s="126" t="s">
        <v>39</v>
      </c>
      <c r="K46" s="127"/>
      <c r="L46" s="127"/>
      <c r="M46" s="22"/>
    </row>
    <row r="47" spans="1:13" s="152" customFormat="1" ht="15.75" thickBot="1">
      <c r="A47" s="521"/>
      <c r="B47" s="128" t="s">
        <v>1418</v>
      </c>
      <c r="C47" s="128" t="s">
        <v>1408</v>
      </c>
      <c r="D47" s="129">
        <v>43246</v>
      </c>
      <c r="E47" s="128"/>
      <c r="F47" s="128" t="s">
        <v>1409</v>
      </c>
      <c r="G47" s="524" t="s">
        <v>1410</v>
      </c>
      <c r="H47" s="525"/>
      <c r="I47" s="526"/>
      <c r="J47" s="130" t="s">
        <v>108</v>
      </c>
      <c r="K47" s="130" t="s">
        <v>28</v>
      </c>
      <c r="L47" s="130"/>
      <c r="M47" s="65">
        <v>372</v>
      </c>
    </row>
    <row r="48" spans="1:13" s="152" customFormat="1" ht="23.25" thickBot="1">
      <c r="A48" s="521"/>
      <c r="B48" s="153" t="s">
        <v>29</v>
      </c>
      <c r="C48" s="153" t="s">
        <v>30</v>
      </c>
      <c r="D48" s="153" t="s">
        <v>31</v>
      </c>
      <c r="E48" s="527" t="s">
        <v>32</v>
      </c>
      <c r="F48" s="527"/>
      <c r="G48" s="529"/>
      <c r="H48" s="530"/>
      <c r="I48" s="531"/>
      <c r="J48" s="131" t="s">
        <v>127</v>
      </c>
      <c r="K48" s="132" t="s">
        <v>28</v>
      </c>
      <c r="L48" s="132"/>
      <c r="M48" s="66">
        <v>145</v>
      </c>
    </row>
    <row r="49" spans="1:13" s="152" customFormat="1" ht="23.25" thickBot="1">
      <c r="A49" s="522"/>
      <c r="B49" s="133" t="s">
        <v>101</v>
      </c>
      <c r="C49" s="133" t="s">
        <v>1411</v>
      </c>
      <c r="D49" s="144">
        <v>43247</v>
      </c>
      <c r="E49" s="135" t="s">
        <v>36</v>
      </c>
      <c r="F49" s="25" t="s">
        <v>1412</v>
      </c>
      <c r="G49" s="539"/>
      <c r="H49" s="540"/>
      <c r="I49" s="541"/>
      <c r="J49" s="131" t="s">
        <v>38</v>
      </c>
      <c r="K49" s="132" t="s">
        <v>28</v>
      </c>
      <c r="L49" s="132"/>
      <c r="M49" s="68">
        <v>229.5</v>
      </c>
    </row>
    <row r="50" spans="1:13" s="152" customFormat="1" ht="24" customHeight="1" thickTop="1" thickBot="1">
      <c r="A50" s="518">
        <v>309</v>
      </c>
      <c r="B50" s="150" t="s">
        <v>19</v>
      </c>
      <c r="C50" s="150" t="s">
        <v>20</v>
      </c>
      <c r="D50" s="150" t="s">
        <v>21</v>
      </c>
      <c r="E50" s="523" t="s">
        <v>22</v>
      </c>
      <c r="F50" s="523"/>
      <c r="G50" s="523" t="s">
        <v>12</v>
      </c>
      <c r="H50" s="528"/>
      <c r="I50" s="164"/>
      <c r="J50" s="126" t="s">
        <v>39</v>
      </c>
      <c r="K50" s="127"/>
      <c r="L50" s="127"/>
      <c r="M50" s="22"/>
    </row>
    <row r="51" spans="1:13" s="152" customFormat="1" ht="15.75" thickBot="1">
      <c r="A51" s="521"/>
      <c r="B51" s="128" t="s">
        <v>1419</v>
      </c>
      <c r="C51" s="128" t="s">
        <v>1408</v>
      </c>
      <c r="D51" s="129">
        <v>43246</v>
      </c>
      <c r="E51" s="128"/>
      <c r="F51" s="128" t="s">
        <v>1409</v>
      </c>
      <c r="G51" s="524" t="s">
        <v>1410</v>
      </c>
      <c r="H51" s="525"/>
      <c r="I51" s="526"/>
      <c r="J51" s="130" t="s">
        <v>108</v>
      </c>
      <c r="K51" s="130" t="s">
        <v>28</v>
      </c>
      <c r="L51" s="130"/>
      <c r="M51" s="65">
        <v>372</v>
      </c>
    </row>
    <row r="52" spans="1:13" s="152" customFormat="1" ht="23.25" thickBot="1">
      <c r="A52" s="521"/>
      <c r="B52" s="153" t="s">
        <v>29</v>
      </c>
      <c r="C52" s="153" t="s">
        <v>30</v>
      </c>
      <c r="D52" s="153" t="s">
        <v>31</v>
      </c>
      <c r="E52" s="527" t="s">
        <v>32</v>
      </c>
      <c r="F52" s="527"/>
      <c r="G52" s="529"/>
      <c r="H52" s="530"/>
      <c r="I52" s="531"/>
      <c r="J52" s="131" t="s">
        <v>127</v>
      </c>
      <c r="K52" s="132" t="s">
        <v>28</v>
      </c>
      <c r="L52" s="132"/>
      <c r="M52" s="66">
        <v>145</v>
      </c>
    </row>
    <row r="53" spans="1:13" s="152" customFormat="1" ht="23.25" thickBot="1">
      <c r="A53" s="522"/>
      <c r="B53" s="133" t="s">
        <v>101</v>
      </c>
      <c r="C53" s="133" t="s">
        <v>1411</v>
      </c>
      <c r="D53" s="144">
        <v>43247</v>
      </c>
      <c r="E53" s="135" t="s">
        <v>36</v>
      </c>
      <c r="F53" s="25" t="s">
        <v>1412</v>
      </c>
      <c r="G53" s="539"/>
      <c r="H53" s="540"/>
      <c r="I53" s="541"/>
      <c r="J53" s="131" t="s">
        <v>38</v>
      </c>
      <c r="K53" s="132" t="s">
        <v>28</v>
      </c>
      <c r="L53" s="132"/>
      <c r="M53" s="68">
        <v>229.5</v>
      </c>
    </row>
    <row r="54" spans="1:13" s="152" customFormat="1" ht="24" customHeight="1" thickTop="1" thickBot="1">
      <c r="A54" s="518">
        <f>A49+310</f>
        <v>310</v>
      </c>
      <c r="B54" s="150" t="s">
        <v>19</v>
      </c>
      <c r="C54" s="150" t="s">
        <v>20</v>
      </c>
      <c r="D54" s="150" t="s">
        <v>21</v>
      </c>
      <c r="E54" s="523" t="s">
        <v>22</v>
      </c>
      <c r="F54" s="523"/>
      <c r="G54" s="523" t="s">
        <v>12</v>
      </c>
      <c r="H54" s="528"/>
      <c r="I54" s="164"/>
      <c r="J54" s="126" t="s">
        <v>39</v>
      </c>
      <c r="K54" s="127"/>
      <c r="L54" s="127"/>
      <c r="M54" s="22"/>
    </row>
    <row r="55" spans="1:13" s="152" customFormat="1" ht="15.75" thickBot="1">
      <c r="A55" s="521"/>
      <c r="B55" s="128" t="s">
        <v>1420</v>
      </c>
      <c r="C55" s="128" t="s">
        <v>1408</v>
      </c>
      <c r="D55" s="129">
        <v>43246</v>
      </c>
      <c r="E55" s="128"/>
      <c r="F55" s="128" t="s">
        <v>1409</v>
      </c>
      <c r="G55" s="524" t="s">
        <v>1410</v>
      </c>
      <c r="H55" s="525"/>
      <c r="I55" s="526"/>
      <c r="J55" s="130" t="s">
        <v>108</v>
      </c>
      <c r="K55" s="130" t="s">
        <v>28</v>
      </c>
      <c r="L55" s="130"/>
      <c r="M55" s="65">
        <v>372</v>
      </c>
    </row>
    <row r="56" spans="1:13" s="152" customFormat="1" ht="23.25" thickBot="1">
      <c r="A56" s="521"/>
      <c r="B56" s="153" t="s">
        <v>29</v>
      </c>
      <c r="C56" s="153" t="s">
        <v>30</v>
      </c>
      <c r="D56" s="153" t="s">
        <v>31</v>
      </c>
      <c r="E56" s="527" t="s">
        <v>32</v>
      </c>
      <c r="F56" s="527"/>
      <c r="G56" s="529"/>
      <c r="H56" s="530"/>
      <c r="I56" s="531"/>
      <c r="J56" s="131" t="s">
        <v>127</v>
      </c>
      <c r="K56" s="132" t="s">
        <v>28</v>
      </c>
      <c r="L56" s="132"/>
      <c r="M56" s="66">
        <v>145</v>
      </c>
    </row>
    <row r="57" spans="1:13" s="152" customFormat="1" ht="23.25" thickBot="1">
      <c r="A57" s="522"/>
      <c r="B57" s="133" t="s">
        <v>101</v>
      </c>
      <c r="C57" s="133" t="s">
        <v>1411</v>
      </c>
      <c r="D57" s="144">
        <v>43247</v>
      </c>
      <c r="E57" s="135" t="s">
        <v>36</v>
      </c>
      <c r="F57" s="25" t="s">
        <v>1412</v>
      </c>
      <c r="G57" s="539"/>
      <c r="H57" s="540"/>
      <c r="I57" s="541"/>
      <c r="J57" s="131" t="s">
        <v>38</v>
      </c>
      <c r="K57" s="132" t="s">
        <v>28</v>
      </c>
      <c r="L57" s="132"/>
      <c r="M57" s="68">
        <v>229.5</v>
      </c>
    </row>
    <row r="58" spans="1:13" s="152" customFormat="1" ht="24" customHeight="1" thickTop="1" thickBot="1">
      <c r="A58" s="518">
        <f>A57+311</f>
        <v>311</v>
      </c>
      <c r="B58" s="150" t="s">
        <v>19</v>
      </c>
      <c r="C58" s="150" t="s">
        <v>20</v>
      </c>
      <c r="D58" s="150" t="s">
        <v>21</v>
      </c>
      <c r="E58" s="523" t="s">
        <v>22</v>
      </c>
      <c r="F58" s="523"/>
      <c r="G58" s="523" t="s">
        <v>12</v>
      </c>
      <c r="H58" s="528"/>
      <c r="I58" s="164"/>
      <c r="J58" s="126" t="s">
        <v>39</v>
      </c>
      <c r="K58" s="127"/>
      <c r="L58" s="127"/>
      <c r="M58" s="22"/>
    </row>
    <row r="59" spans="1:13" s="152" customFormat="1" ht="15.75" thickBot="1">
      <c r="A59" s="521"/>
      <c r="B59" s="128" t="s">
        <v>1421</v>
      </c>
      <c r="C59" s="128" t="s">
        <v>1408</v>
      </c>
      <c r="D59" s="129">
        <v>43246</v>
      </c>
      <c r="E59" s="128"/>
      <c r="F59" s="128" t="s">
        <v>1409</v>
      </c>
      <c r="G59" s="524" t="s">
        <v>1410</v>
      </c>
      <c r="H59" s="525"/>
      <c r="I59" s="526"/>
      <c r="J59" s="130" t="s">
        <v>108</v>
      </c>
      <c r="K59" s="130" t="s">
        <v>28</v>
      </c>
      <c r="L59" s="130"/>
      <c r="M59" s="65">
        <v>372</v>
      </c>
    </row>
    <row r="60" spans="1:13" s="152" customFormat="1" ht="23.25" thickBot="1">
      <c r="A60" s="521"/>
      <c r="B60" s="153" t="s">
        <v>29</v>
      </c>
      <c r="C60" s="153" t="s">
        <v>30</v>
      </c>
      <c r="D60" s="153" t="s">
        <v>31</v>
      </c>
      <c r="E60" s="527" t="s">
        <v>32</v>
      </c>
      <c r="F60" s="527"/>
      <c r="G60" s="529"/>
      <c r="H60" s="530"/>
      <c r="I60" s="531"/>
      <c r="J60" s="131" t="s">
        <v>127</v>
      </c>
      <c r="K60" s="132" t="s">
        <v>28</v>
      </c>
      <c r="L60" s="132"/>
      <c r="M60" s="66">
        <v>145</v>
      </c>
    </row>
    <row r="61" spans="1:13" s="152" customFormat="1" ht="23.25" thickBot="1">
      <c r="A61" s="522"/>
      <c r="B61" s="133" t="s">
        <v>102</v>
      </c>
      <c r="C61" s="133" t="s">
        <v>1411</v>
      </c>
      <c r="D61" s="144">
        <v>43247</v>
      </c>
      <c r="E61" s="135" t="s">
        <v>36</v>
      </c>
      <c r="F61" s="25" t="s">
        <v>1412</v>
      </c>
      <c r="G61" s="539"/>
      <c r="H61" s="540"/>
      <c r="I61" s="541"/>
      <c r="J61" s="131" t="s">
        <v>38</v>
      </c>
      <c r="K61" s="132" t="s">
        <v>28</v>
      </c>
      <c r="L61" s="132"/>
      <c r="M61" s="68">
        <v>229.5</v>
      </c>
    </row>
    <row r="62" spans="1:13" s="152" customFormat="1" ht="24" customHeight="1" thickTop="1" thickBot="1">
      <c r="A62" s="518">
        <f>A61+312</f>
        <v>312</v>
      </c>
      <c r="B62" s="150" t="s">
        <v>19</v>
      </c>
      <c r="C62" s="150" t="s">
        <v>20</v>
      </c>
      <c r="D62" s="150" t="s">
        <v>21</v>
      </c>
      <c r="E62" s="523" t="s">
        <v>22</v>
      </c>
      <c r="F62" s="523"/>
      <c r="G62" s="523" t="s">
        <v>12</v>
      </c>
      <c r="H62" s="528"/>
      <c r="I62" s="164"/>
      <c r="J62" s="126" t="s">
        <v>39</v>
      </c>
      <c r="K62" s="127"/>
      <c r="L62" s="127"/>
      <c r="M62" s="22"/>
    </row>
    <row r="63" spans="1:13" s="152" customFormat="1" ht="34.5" thickBot="1">
      <c r="A63" s="521"/>
      <c r="B63" s="128" t="s">
        <v>118</v>
      </c>
      <c r="C63" s="128" t="s">
        <v>1422</v>
      </c>
      <c r="D63" s="129">
        <v>43257</v>
      </c>
      <c r="E63" s="128"/>
      <c r="F63" s="128" t="s">
        <v>1423</v>
      </c>
      <c r="G63" s="524" t="s">
        <v>1424</v>
      </c>
      <c r="H63" s="525"/>
      <c r="I63" s="526"/>
      <c r="J63" s="130" t="s">
        <v>108</v>
      </c>
      <c r="K63" s="130"/>
      <c r="L63" s="130" t="s">
        <v>28</v>
      </c>
      <c r="M63" s="65">
        <v>506</v>
      </c>
    </row>
    <row r="64" spans="1:13" s="152" customFormat="1" ht="34.5" thickBot="1">
      <c r="A64" s="521"/>
      <c r="B64" s="153" t="s">
        <v>29</v>
      </c>
      <c r="C64" s="153" t="s">
        <v>30</v>
      </c>
      <c r="D64" s="153" t="s">
        <v>31</v>
      </c>
      <c r="E64" s="527" t="s">
        <v>32</v>
      </c>
      <c r="F64" s="527"/>
      <c r="G64" s="529"/>
      <c r="H64" s="530"/>
      <c r="I64" s="531"/>
      <c r="J64" s="131" t="s">
        <v>109</v>
      </c>
      <c r="K64" s="132"/>
      <c r="L64" s="132" t="s">
        <v>28</v>
      </c>
      <c r="M64" s="24" t="s">
        <v>1425</v>
      </c>
    </row>
    <row r="65" spans="1:13" s="152" customFormat="1" ht="45.75" thickBot="1">
      <c r="A65" s="522"/>
      <c r="B65" s="133" t="s">
        <v>110</v>
      </c>
      <c r="C65" s="133" t="s">
        <v>1426</v>
      </c>
      <c r="D65" s="144">
        <v>43257</v>
      </c>
      <c r="E65" s="135" t="s">
        <v>36</v>
      </c>
      <c r="F65" s="25" t="s">
        <v>1427</v>
      </c>
      <c r="G65" s="539"/>
      <c r="H65" s="540"/>
      <c r="I65" s="541"/>
      <c r="J65" s="131" t="s">
        <v>38</v>
      </c>
      <c r="K65" s="132"/>
      <c r="L65" s="132" t="s">
        <v>28</v>
      </c>
      <c r="M65" s="66">
        <v>93</v>
      </c>
    </row>
    <row r="66" spans="1:13" s="152" customFormat="1" ht="24" customHeight="1" thickTop="1" thickBot="1">
      <c r="A66" s="518">
        <f>A65+313</f>
        <v>313</v>
      </c>
      <c r="B66" s="150" t="s">
        <v>19</v>
      </c>
      <c r="C66" s="150" t="s">
        <v>20</v>
      </c>
      <c r="D66" s="150" t="s">
        <v>21</v>
      </c>
      <c r="E66" s="523" t="s">
        <v>22</v>
      </c>
      <c r="F66" s="523"/>
      <c r="G66" s="523" t="s">
        <v>12</v>
      </c>
      <c r="H66" s="528"/>
      <c r="I66" s="164"/>
      <c r="J66" s="126" t="s">
        <v>39</v>
      </c>
      <c r="K66" s="127"/>
      <c r="L66" s="127"/>
      <c r="M66" s="22"/>
    </row>
    <row r="67" spans="1:13" s="152" customFormat="1" ht="102" thickBot="1">
      <c r="A67" s="521"/>
      <c r="B67" s="128" t="s">
        <v>1428</v>
      </c>
      <c r="C67" s="128" t="s">
        <v>1429</v>
      </c>
      <c r="D67" s="129">
        <v>43294</v>
      </c>
      <c r="E67" s="128"/>
      <c r="F67" s="128" t="s">
        <v>113</v>
      </c>
      <c r="G67" s="524" t="s">
        <v>114</v>
      </c>
      <c r="H67" s="525"/>
      <c r="I67" s="526"/>
      <c r="J67" s="130" t="s">
        <v>108</v>
      </c>
      <c r="K67" s="130"/>
      <c r="L67" s="130" t="s">
        <v>28</v>
      </c>
      <c r="M67" s="145">
        <v>252</v>
      </c>
    </row>
    <row r="68" spans="1:13" s="152" customFormat="1" ht="23.25" thickBot="1">
      <c r="A68" s="521"/>
      <c r="B68" s="153" t="s">
        <v>29</v>
      </c>
      <c r="C68" s="153" t="s">
        <v>30</v>
      </c>
      <c r="D68" s="153" t="s">
        <v>31</v>
      </c>
      <c r="E68" s="527" t="s">
        <v>32</v>
      </c>
      <c r="F68" s="527"/>
      <c r="G68" s="529"/>
      <c r="H68" s="530"/>
      <c r="I68" s="531"/>
      <c r="J68" s="131" t="s">
        <v>98</v>
      </c>
      <c r="K68" s="132"/>
      <c r="L68" s="132" t="s">
        <v>28</v>
      </c>
      <c r="M68" s="66">
        <v>582</v>
      </c>
    </row>
    <row r="69" spans="1:13" s="152" customFormat="1" ht="23.25" thickBot="1">
      <c r="A69" s="522"/>
      <c r="B69" s="133" t="s">
        <v>116</v>
      </c>
      <c r="C69" s="133" t="s">
        <v>114</v>
      </c>
      <c r="D69" s="144">
        <v>43295</v>
      </c>
      <c r="E69" s="135" t="s">
        <v>36</v>
      </c>
      <c r="F69" s="25" t="s">
        <v>1430</v>
      </c>
      <c r="G69" s="539"/>
      <c r="H69" s="540"/>
      <c r="I69" s="541"/>
      <c r="J69" s="131" t="s">
        <v>38</v>
      </c>
      <c r="K69" s="132" t="s">
        <v>28</v>
      </c>
      <c r="L69" s="132" t="s">
        <v>28</v>
      </c>
      <c r="M69" s="66" t="s">
        <v>1431</v>
      </c>
    </row>
    <row r="70" spans="1:13" s="152" customFormat="1" ht="24" customHeight="1" thickTop="1" thickBot="1">
      <c r="A70" s="518">
        <f>A69+314</f>
        <v>314</v>
      </c>
      <c r="B70" s="150" t="s">
        <v>19</v>
      </c>
      <c r="C70" s="150" t="s">
        <v>20</v>
      </c>
      <c r="D70" s="150" t="s">
        <v>21</v>
      </c>
      <c r="E70" s="523" t="s">
        <v>22</v>
      </c>
      <c r="F70" s="523"/>
      <c r="G70" s="523" t="s">
        <v>12</v>
      </c>
      <c r="H70" s="528"/>
      <c r="I70" s="164"/>
      <c r="J70" s="126" t="s">
        <v>39</v>
      </c>
      <c r="K70" s="127"/>
      <c r="L70" s="127"/>
      <c r="M70" s="22"/>
    </row>
    <row r="71" spans="1:13" s="152" customFormat="1" ht="23.25" thickBot="1">
      <c r="A71" s="521"/>
      <c r="B71" s="128" t="s">
        <v>120</v>
      </c>
      <c r="C71" s="128" t="s">
        <v>1390</v>
      </c>
      <c r="D71" s="129">
        <v>43261</v>
      </c>
      <c r="E71" s="128"/>
      <c r="F71" s="128" t="s">
        <v>1391</v>
      </c>
      <c r="G71" s="524" t="s">
        <v>1367</v>
      </c>
      <c r="H71" s="525"/>
      <c r="I71" s="526"/>
      <c r="J71" s="130" t="s">
        <v>108</v>
      </c>
      <c r="K71" s="130"/>
      <c r="L71" s="130" t="s">
        <v>28</v>
      </c>
      <c r="M71" s="65">
        <v>750</v>
      </c>
    </row>
    <row r="72" spans="1:13" s="152" customFormat="1" ht="23.25" thickBot="1">
      <c r="A72" s="521"/>
      <c r="B72" s="153" t="s">
        <v>29</v>
      </c>
      <c r="C72" s="153" t="s">
        <v>30</v>
      </c>
      <c r="D72" s="153" t="s">
        <v>31</v>
      </c>
      <c r="E72" s="527" t="s">
        <v>32</v>
      </c>
      <c r="F72" s="527"/>
      <c r="G72" s="529"/>
      <c r="H72" s="530"/>
      <c r="I72" s="531"/>
      <c r="J72" s="131" t="s">
        <v>38</v>
      </c>
      <c r="K72" s="132"/>
      <c r="L72" s="132" t="s">
        <v>28</v>
      </c>
      <c r="M72" s="66">
        <v>200</v>
      </c>
    </row>
    <row r="73" spans="1:13" s="152" customFormat="1" ht="23.25" thickBot="1">
      <c r="A73" s="522"/>
      <c r="B73" s="133" t="s">
        <v>121</v>
      </c>
      <c r="C73" s="133" t="s">
        <v>1367</v>
      </c>
      <c r="D73" s="144">
        <v>43264</v>
      </c>
      <c r="E73" s="135" t="s">
        <v>36</v>
      </c>
      <c r="F73" s="25" t="s">
        <v>1392</v>
      </c>
      <c r="G73" s="539"/>
      <c r="H73" s="540"/>
      <c r="I73" s="541"/>
      <c r="J73" s="131" t="s">
        <v>41</v>
      </c>
      <c r="K73" s="132"/>
      <c r="L73" s="132"/>
      <c r="M73" s="24"/>
    </row>
    <row r="74" spans="1:13" s="152" customFormat="1" ht="24" customHeight="1" thickTop="1" thickBot="1">
      <c r="A74" s="518">
        <f>A73+315</f>
        <v>315</v>
      </c>
      <c r="B74" s="150" t="s">
        <v>19</v>
      </c>
      <c r="C74" s="150" t="s">
        <v>20</v>
      </c>
      <c r="D74" s="150" t="s">
        <v>21</v>
      </c>
      <c r="E74" s="523" t="s">
        <v>22</v>
      </c>
      <c r="F74" s="523"/>
      <c r="G74" s="523" t="s">
        <v>12</v>
      </c>
      <c r="H74" s="528"/>
      <c r="I74" s="164"/>
      <c r="J74" s="126" t="s">
        <v>39</v>
      </c>
      <c r="K74" s="127"/>
      <c r="L74" s="127"/>
      <c r="M74" s="22"/>
    </row>
    <row r="75" spans="1:13" s="152" customFormat="1" ht="90.75" thickBot="1">
      <c r="A75" s="521"/>
      <c r="B75" s="128" t="s">
        <v>1432</v>
      </c>
      <c r="C75" s="128" t="s">
        <v>1433</v>
      </c>
      <c r="D75" s="129">
        <v>43356</v>
      </c>
      <c r="E75" s="128"/>
      <c r="F75" s="128" t="s">
        <v>1434</v>
      </c>
      <c r="G75" s="524" t="s">
        <v>1435</v>
      </c>
      <c r="H75" s="525"/>
      <c r="I75" s="526"/>
      <c r="J75" s="130" t="s">
        <v>108</v>
      </c>
      <c r="K75" s="130" t="s">
        <v>28</v>
      </c>
      <c r="L75" s="130"/>
      <c r="M75" s="145">
        <v>180</v>
      </c>
    </row>
    <row r="76" spans="1:13" s="152" customFormat="1" ht="23.25" thickBot="1">
      <c r="A76" s="521"/>
      <c r="B76" s="153" t="s">
        <v>29</v>
      </c>
      <c r="C76" s="153" t="s">
        <v>30</v>
      </c>
      <c r="D76" s="153" t="s">
        <v>31</v>
      </c>
      <c r="E76" s="527" t="s">
        <v>32</v>
      </c>
      <c r="F76" s="527"/>
      <c r="G76" s="529"/>
      <c r="H76" s="530"/>
      <c r="I76" s="531"/>
      <c r="J76" s="131" t="s">
        <v>98</v>
      </c>
      <c r="K76" s="132"/>
      <c r="L76" s="132" t="s">
        <v>28</v>
      </c>
      <c r="M76" s="68">
        <v>50</v>
      </c>
    </row>
    <row r="77" spans="1:13" s="152" customFormat="1" ht="34.5" thickBot="1">
      <c r="A77" s="522"/>
      <c r="B77" s="133" t="s">
        <v>116</v>
      </c>
      <c r="C77" s="133" t="s">
        <v>1435</v>
      </c>
      <c r="D77" s="144">
        <v>43358</v>
      </c>
      <c r="E77" s="135" t="s">
        <v>36</v>
      </c>
      <c r="F77" s="25" t="s">
        <v>1436</v>
      </c>
      <c r="G77" s="539"/>
      <c r="H77" s="540"/>
      <c r="I77" s="541"/>
      <c r="J77" s="131" t="s">
        <v>1437</v>
      </c>
      <c r="K77" s="132" t="s">
        <v>28</v>
      </c>
      <c r="L77" s="132" t="s">
        <v>28</v>
      </c>
      <c r="M77" s="24" t="s">
        <v>1438</v>
      </c>
    </row>
    <row r="78" spans="1:13" s="152" customFormat="1" ht="24" customHeight="1" thickTop="1" thickBot="1">
      <c r="A78" s="518">
        <f>A77+316</f>
        <v>316</v>
      </c>
      <c r="B78" s="150" t="s">
        <v>19</v>
      </c>
      <c r="C78" s="150" t="s">
        <v>20</v>
      </c>
      <c r="D78" s="150" t="s">
        <v>21</v>
      </c>
      <c r="E78" s="523" t="s">
        <v>22</v>
      </c>
      <c r="F78" s="523"/>
      <c r="G78" s="523" t="s">
        <v>12</v>
      </c>
      <c r="H78" s="528"/>
      <c r="I78" s="164"/>
      <c r="J78" s="126" t="s">
        <v>39</v>
      </c>
      <c r="K78" s="127"/>
      <c r="L78" s="127"/>
      <c r="M78" s="22"/>
    </row>
    <row r="79" spans="1:13" s="152" customFormat="1" ht="23.25" thickBot="1">
      <c r="A79" s="521"/>
      <c r="B79" s="128" t="s">
        <v>1413</v>
      </c>
      <c r="C79" s="128" t="s">
        <v>1439</v>
      </c>
      <c r="D79" s="129">
        <v>43266</v>
      </c>
      <c r="E79" s="128"/>
      <c r="F79" s="128" t="s">
        <v>1440</v>
      </c>
      <c r="G79" s="524" t="s">
        <v>1441</v>
      </c>
      <c r="H79" s="525"/>
      <c r="I79" s="526"/>
      <c r="J79" s="130" t="s">
        <v>108</v>
      </c>
      <c r="K79" s="130"/>
      <c r="L79" s="130" t="s">
        <v>42</v>
      </c>
      <c r="M79" s="65">
        <v>248</v>
      </c>
    </row>
    <row r="80" spans="1:13" s="152" customFormat="1" ht="23.25" thickBot="1">
      <c r="A80" s="521"/>
      <c r="B80" s="153" t="s">
        <v>29</v>
      </c>
      <c r="C80" s="153" t="s">
        <v>30</v>
      </c>
      <c r="D80" s="153" t="s">
        <v>31</v>
      </c>
      <c r="E80" s="527" t="s">
        <v>32</v>
      </c>
      <c r="F80" s="527"/>
      <c r="G80" s="529"/>
      <c r="H80" s="530"/>
      <c r="I80" s="531"/>
      <c r="J80" s="131" t="s">
        <v>38</v>
      </c>
      <c r="K80" s="132" t="s">
        <v>42</v>
      </c>
      <c r="L80" s="132"/>
      <c r="M80" s="66">
        <v>165</v>
      </c>
    </row>
    <row r="81" spans="1:13" s="152" customFormat="1" ht="23.25" thickBot="1">
      <c r="A81" s="522"/>
      <c r="B81" s="133" t="s">
        <v>117</v>
      </c>
      <c r="C81" s="133" t="s">
        <v>1441</v>
      </c>
      <c r="D81" s="67">
        <v>43268</v>
      </c>
      <c r="E81" s="135" t="s">
        <v>36</v>
      </c>
      <c r="F81" s="25" t="s">
        <v>1442</v>
      </c>
      <c r="G81" s="539"/>
      <c r="H81" s="540"/>
      <c r="I81" s="541"/>
      <c r="J81" s="131" t="s">
        <v>98</v>
      </c>
      <c r="K81" s="132"/>
      <c r="L81" s="132" t="s">
        <v>42</v>
      </c>
      <c r="M81" s="66">
        <v>71</v>
      </c>
    </row>
    <row r="82" spans="1:13" s="152" customFormat="1" ht="24" customHeight="1" thickTop="1" thickBot="1">
      <c r="A82" s="518">
        <f>A77+317</f>
        <v>317</v>
      </c>
      <c r="B82" s="150" t="s">
        <v>19</v>
      </c>
      <c r="C82" s="150" t="s">
        <v>20</v>
      </c>
      <c r="D82" s="150" t="s">
        <v>21</v>
      </c>
      <c r="E82" s="523" t="s">
        <v>22</v>
      </c>
      <c r="F82" s="523"/>
      <c r="G82" s="523" t="s">
        <v>12</v>
      </c>
      <c r="H82" s="528"/>
      <c r="I82" s="164"/>
      <c r="J82" s="126" t="s">
        <v>39</v>
      </c>
      <c r="K82" s="127"/>
      <c r="L82" s="127"/>
      <c r="M82" s="22"/>
    </row>
    <row r="83" spans="1:13" s="152" customFormat="1" ht="23.25" thickBot="1">
      <c r="A83" s="521"/>
      <c r="B83" s="128" t="s">
        <v>1443</v>
      </c>
      <c r="C83" s="69" t="s">
        <v>1439</v>
      </c>
      <c r="D83" s="129">
        <v>43266</v>
      </c>
      <c r="E83" s="128"/>
      <c r="F83" s="69" t="s">
        <v>1440</v>
      </c>
      <c r="G83" s="524" t="s">
        <v>1441</v>
      </c>
      <c r="H83" s="525"/>
      <c r="I83" s="526"/>
      <c r="J83" s="70" t="s">
        <v>108</v>
      </c>
      <c r="K83" s="70"/>
      <c r="L83" s="70" t="s">
        <v>42</v>
      </c>
      <c r="M83" s="71">
        <v>248</v>
      </c>
    </row>
    <row r="84" spans="1:13" s="152" customFormat="1" ht="23.25" thickBot="1">
      <c r="A84" s="521"/>
      <c r="B84" s="153" t="s">
        <v>29</v>
      </c>
      <c r="C84" s="153" t="s">
        <v>30</v>
      </c>
      <c r="D84" s="153" t="s">
        <v>31</v>
      </c>
      <c r="E84" s="527" t="s">
        <v>32</v>
      </c>
      <c r="F84" s="527"/>
      <c r="G84" s="529"/>
      <c r="H84" s="530"/>
      <c r="I84" s="531"/>
      <c r="J84" s="72" t="s">
        <v>38</v>
      </c>
      <c r="K84" s="73" t="s">
        <v>42</v>
      </c>
      <c r="L84" s="73"/>
      <c r="M84" s="78">
        <v>165</v>
      </c>
    </row>
    <row r="85" spans="1:13" s="152" customFormat="1" ht="23.25" thickBot="1">
      <c r="A85" s="522"/>
      <c r="B85" s="133" t="s">
        <v>130</v>
      </c>
      <c r="C85" s="75" t="s">
        <v>1441</v>
      </c>
      <c r="D85" s="424">
        <v>43268</v>
      </c>
      <c r="E85" s="135" t="s">
        <v>36</v>
      </c>
      <c r="F85" s="77" t="s">
        <v>1442</v>
      </c>
      <c r="G85" s="539"/>
      <c r="H85" s="540"/>
      <c r="I85" s="541"/>
      <c r="J85" s="72" t="s">
        <v>98</v>
      </c>
      <c r="K85" s="73"/>
      <c r="L85" s="73" t="s">
        <v>42</v>
      </c>
      <c r="M85" s="78">
        <v>71</v>
      </c>
    </row>
    <row r="86" spans="1:13" s="152" customFormat="1" ht="24" customHeight="1" thickTop="1" thickBot="1">
      <c r="A86" s="518">
        <f>A81+318</f>
        <v>318</v>
      </c>
      <c r="B86" s="150" t="s">
        <v>19</v>
      </c>
      <c r="C86" s="150" t="s">
        <v>20</v>
      </c>
      <c r="D86" s="150" t="s">
        <v>21</v>
      </c>
      <c r="E86" s="523" t="s">
        <v>22</v>
      </c>
      <c r="F86" s="523"/>
      <c r="G86" s="523" t="s">
        <v>12</v>
      </c>
      <c r="H86" s="528"/>
      <c r="I86" s="164"/>
      <c r="J86" s="126" t="s">
        <v>39</v>
      </c>
      <c r="K86" s="127"/>
      <c r="L86" s="127"/>
      <c r="M86" s="22"/>
    </row>
    <row r="87" spans="1:13" s="152" customFormat="1" ht="23.25" thickBot="1">
      <c r="A87" s="521"/>
      <c r="B87" s="128" t="s">
        <v>103</v>
      </c>
      <c r="C87" s="69" t="s">
        <v>1439</v>
      </c>
      <c r="D87" s="129">
        <v>43266</v>
      </c>
      <c r="E87" s="128"/>
      <c r="F87" s="69" t="s">
        <v>1440</v>
      </c>
      <c r="G87" s="524" t="s">
        <v>1441</v>
      </c>
      <c r="H87" s="525"/>
      <c r="I87" s="526"/>
      <c r="J87" s="70" t="s">
        <v>108</v>
      </c>
      <c r="K87" s="70"/>
      <c r="L87" s="70" t="s">
        <v>42</v>
      </c>
      <c r="M87" s="71">
        <v>248</v>
      </c>
    </row>
    <row r="88" spans="1:13" s="152" customFormat="1" ht="23.25" thickBot="1">
      <c r="A88" s="521"/>
      <c r="B88" s="153" t="s">
        <v>29</v>
      </c>
      <c r="C88" s="153" t="s">
        <v>30</v>
      </c>
      <c r="D88" s="153" t="s">
        <v>31</v>
      </c>
      <c r="E88" s="527" t="s">
        <v>32</v>
      </c>
      <c r="F88" s="527"/>
      <c r="G88" s="529"/>
      <c r="H88" s="530"/>
      <c r="I88" s="531"/>
      <c r="J88" s="72" t="s">
        <v>38</v>
      </c>
      <c r="K88" s="73" t="s">
        <v>42</v>
      </c>
      <c r="L88" s="73"/>
      <c r="M88" s="78">
        <v>165</v>
      </c>
    </row>
    <row r="89" spans="1:13" s="152" customFormat="1" ht="23.25" thickBot="1">
      <c r="A89" s="522"/>
      <c r="B89" s="133" t="s">
        <v>130</v>
      </c>
      <c r="C89" s="75" t="s">
        <v>1441</v>
      </c>
      <c r="D89" s="424">
        <v>43268</v>
      </c>
      <c r="E89" s="135" t="s">
        <v>36</v>
      </c>
      <c r="F89" s="77" t="s">
        <v>1442</v>
      </c>
      <c r="G89" s="539"/>
      <c r="H89" s="540"/>
      <c r="I89" s="541"/>
      <c r="J89" s="72" t="s">
        <v>98</v>
      </c>
      <c r="K89" s="73"/>
      <c r="L89" s="73" t="s">
        <v>42</v>
      </c>
      <c r="M89" s="78">
        <v>71</v>
      </c>
    </row>
    <row r="90" spans="1:13" s="152" customFormat="1" ht="24" customHeight="1" thickTop="1" thickBot="1">
      <c r="A90" s="518">
        <f>A85+319</f>
        <v>319</v>
      </c>
      <c r="B90" s="150" t="s">
        <v>19</v>
      </c>
      <c r="C90" s="150" t="s">
        <v>20</v>
      </c>
      <c r="D90" s="150" t="s">
        <v>21</v>
      </c>
      <c r="E90" s="523" t="s">
        <v>22</v>
      </c>
      <c r="F90" s="523"/>
      <c r="G90" s="523" t="s">
        <v>12</v>
      </c>
      <c r="H90" s="528"/>
      <c r="I90" s="164"/>
      <c r="J90" s="126" t="s">
        <v>39</v>
      </c>
      <c r="K90" s="127"/>
      <c r="L90" s="127"/>
      <c r="M90" s="22"/>
    </row>
    <row r="91" spans="1:13" s="152" customFormat="1" ht="23.25" thickBot="1">
      <c r="A91" s="521"/>
      <c r="B91" s="128" t="s">
        <v>1444</v>
      </c>
      <c r="C91" s="69" t="s">
        <v>1439</v>
      </c>
      <c r="D91" s="129">
        <v>43266</v>
      </c>
      <c r="E91" s="128"/>
      <c r="F91" s="69" t="s">
        <v>1440</v>
      </c>
      <c r="G91" s="524" t="s">
        <v>1441</v>
      </c>
      <c r="H91" s="525"/>
      <c r="I91" s="526"/>
      <c r="J91" s="70" t="s">
        <v>108</v>
      </c>
      <c r="K91" s="70"/>
      <c r="L91" s="70" t="s">
        <v>42</v>
      </c>
      <c r="M91" s="71">
        <v>248</v>
      </c>
    </row>
    <row r="92" spans="1:13" s="152" customFormat="1" ht="23.25" thickBot="1">
      <c r="A92" s="521"/>
      <c r="B92" s="153" t="s">
        <v>29</v>
      </c>
      <c r="C92" s="153" t="s">
        <v>30</v>
      </c>
      <c r="D92" s="153" t="s">
        <v>31</v>
      </c>
      <c r="E92" s="527" t="s">
        <v>32</v>
      </c>
      <c r="F92" s="527"/>
      <c r="G92" s="529"/>
      <c r="H92" s="530"/>
      <c r="I92" s="531"/>
      <c r="J92" s="72" t="s">
        <v>38</v>
      </c>
      <c r="K92" s="73" t="s">
        <v>42</v>
      </c>
      <c r="L92" s="73"/>
      <c r="M92" s="78">
        <v>165</v>
      </c>
    </row>
    <row r="93" spans="1:13" s="152" customFormat="1" ht="23.25" thickBot="1">
      <c r="A93" s="522"/>
      <c r="B93" s="133" t="s">
        <v>130</v>
      </c>
      <c r="C93" s="75" t="s">
        <v>1441</v>
      </c>
      <c r="D93" s="424">
        <v>43268</v>
      </c>
      <c r="E93" s="135" t="s">
        <v>36</v>
      </c>
      <c r="F93" s="77" t="s">
        <v>1442</v>
      </c>
      <c r="G93" s="539"/>
      <c r="H93" s="540"/>
      <c r="I93" s="541"/>
      <c r="J93" s="72" t="s">
        <v>98</v>
      </c>
      <c r="K93" s="73"/>
      <c r="L93" s="73" t="s">
        <v>42</v>
      </c>
      <c r="M93" s="78">
        <v>71</v>
      </c>
    </row>
    <row r="94" spans="1:13" s="152" customFormat="1" ht="24" customHeight="1" thickTop="1" thickBot="1">
      <c r="A94" s="518">
        <f>A89+320</f>
        <v>320</v>
      </c>
      <c r="B94" s="150" t="s">
        <v>19</v>
      </c>
      <c r="C94" s="150" t="s">
        <v>20</v>
      </c>
      <c r="D94" s="150" t="s">
        <v>21</v>
      </c>
      <c r="E94" s="523" t="s">
        <v>22</v>
      </c>
      <c r="F94" s="523"/>
      <c r="G94" s="523" t="s">
        <v>12</v>
      </c>
      <c r="H94" s="528"/>
      <c r="I94" s="164"/>
      <c r="J94" s="126" t="s">
        <v>39</v>
      </c>
      <c r="K94" s="127"/>
      <c r="L94" s="127"/>
      <c r="M94" s="22"/>
    </row>
    <row r="95" spans="1:13" s="152" customFormat="1" ht="23.25" thickBot="1">
      <c r="A95" s="521"/>
      <c r="B95" s="128" t="s">
        <v>1445</v>
      </c>
      <c r="C95" s="69" t="s">
        <v>1439</v>
      </c>
      <c r="D95" s="129">
        <v>43266</v>
      </c>
      <c r="E95" s="128"/>
      <c r="F95" s="69" t="s">
        <v>1440</v>
      </c>
      <c r="G95" s="524" t="s">
        <v>1441</v>
      </c>
      <c r="H95" s="525"/>
      <c r="I95" s="526"/>
      <c r="J95" s="70" t="s">
        <v>108</v>
      </c>
      <c r="K95" s="70"/>
      <c r="L95" s="70" t="s">
        <v>42</v>
      </c>
      <c r="M95" s="71">
        <v>248</v>
      </c>
    </row>
    <row r="96" spans="1:13" s="152" customFormat="1" ht="23.25" thickBot="1">
      <c r="A96" s="521"/>
      <c r="B96" s="153" t="s">
        <v>29</v>
      </c>
      <c r="C96" s="153" t="s">
        <v>30</v>
      </c>
      <c r="D96" s="153" t="s">
        <v>31</v>
      </c>
      <c r="E96" s="527" t="s">
        <v>32</v>
      </c>
      <c r="F96" s="527"/>
      <c r="G96" s="529"/>
      <c r="H96" s="530"/>
      <c r="I96" s="531"/>
      <c r="J96" s="72" t="s">
        <v>38</v>
      </c>
      <c r="K96" s="73" t="s">
        <v>42</v>
      </c>
      <c r="L96" s="73"/>
      <c r="M96" s="78">
        <v>165</v>
      </c>
    </row>
    <row r="97" spans="1:13" s="152" customFormat="1" ht="23.25" thickBot="1">
      <c r="A97" s="522"/>
      <c r="B97" s="133" t="s">
        <v>101</v>
      </c>
      <c r="C97" s="75" t="s">
        <v>1441</v>
      </c>
      <c r="D97" s="424">
        <v>43268</v>
      </c>
      <c r="E97" s="135" t="s">
        <v>36</v>
      </c>
      <c r="F97" s="77" t="s">
        <v>1442</v>
      </c>
      <c r="G97" s="539"/>
      <c r="H97" s="540"/>
      <c r="I97" s="541"/>
      <c r="J97" s="72" t="s">
        <v>98</v>
      </c>
      <c r="K97" s="73"/>
      <c r="L97" s="73" t="s">
        <v>42</v>
      </c>
      <c r="M97" s="78">
        <v>71</v>
      </c>
    </row>
    <row r="98" spans="1:13" s="152" customFormat="1" ht="24" customHeight="1" thickTop="1" thickBot="1">
      <c r="A98" s="518">
        <f>A97+321</f>
        <v>321</v>
      </c>
      <c r="B98" s="150" t="s">
        <v>19</v>
      </c>
      <c r="C98" s="150" t="s">
        <v>20</v>
      </c>
      <c r="D98" s="150" t="s">
        <v>21</v>
      </c>
      <c r="E98" s="523" t="s">
        <v>22</v>
      </c>
      <c r="F98" s="523"/>
      <c r="G98" s="523" t="s">
        <v>12</v>
      </c>
      <c r="H98" s="528"/>
      <c r="I98" s="164"/>
      <c r="J98" s="126" t="s">
        <v>39</v>
      </c>
      <c r="K98" s="127"/>
      <c r="L98" s="127"/>
      <c r="M98" s="22"/>
    </row>
    <row r="99" spans="1:13" s="152" customFormat="1" ht="23.25" thickBot="1">
      <c r="A99" s="521"/>
      <c r="B99" s="128" t="s">
        <v>129</v>
      </c>
      <c r="C99" s="69" t="s">
        <v>1439</v>
      </c>
      <c r="D99" s="129">
        <v>43266</v>
      </c>
      <c r="E99" s="128"/>
      <c r="F99" s="69" t="s">
        <v>1440</v>
      </c>
      <c r="G99" s="524" t="s">
        <v>1441</v>
      </c>
      <c r="H99" s="525"/>
      <c r="I99" s="526"/>
      <c r="J99" s="70" t="s">
        <v>108</v>
      </c>
      <c r="K99" s="70"/>
      <c r="L99" s="70" t="s">
        <v>42</v>
      </c>
      <c r="M99" s="71">
        <v>248</v>
      </c>
    </row>
    <row r="100" spans="1:13" s="152" customFormat="1" ht="23.25" thickBot="1">
      <c r="A100" s="521"/>
      <c r="B100" s="153" t="s">
        <v>29</v>
      </c>
      <c r="C100" s="153" t="s">
        <v>30</v>
      </c>
      <c r="D100" s="153" t="s">
        <v>31</v>
      </c>
      <c r="E100" s="527" t="s">
        <v>32</v>
      </c>
      <c r="F100" s="527"/>
      <c r="G100" s="529"/>
      <c r="H100" s="530"/>
      <c r="I100" s="531"/>
      <c r="J100" s="72" t="s">
        <v>38</v>
      </c>
      <c r="K100" s="73" t="s">
        <v>42</v>
      </c>
      <c r="L100" s="73"/>
      <c r="M100" s="78">
        <v>165</v>
      </c>
    </row>
    <row r="101" spans="1:13" s="152" customFormat="1" ht="23.25" thickBot="1">
      <c r="A101" s="522"/>
      <c r="B101" s="133" t="s">
        <v>101</v>
      </c>
      <c r="C101" s="75" t="s">
        <v>1441</v>
      </c>
      <c r="D101" s="424">
        <v>43268</v>
      </c>
      <c r="E101" s="135" t="s">
        <v>36</v>
      </c>
      <c r="F101" s="77" t="s">
        <v>1442</v>
      </c>
      <c r="G101" s="539"/>
      <c r="H101" s="540"/>
      <c r="I101" s="541"/>
      <c r="J101" s="72" t="s">
        <v>98</v>
      </c>
      <c r="K101" s="73"/>
      <c r="L101" s="73" t="s">
        <v>42</v>
      </c>
      <c r="M101" s="78">
        <v>71</v>
      </c>
    </row>
    <row r="102" spans="1:13" s="152" customFormat="1" ht="24" customHeight="1" thickTop="1" thickBot="1">
      <c r="A102" s="518">
        <f>A101+322</f>
        <v>322</v>
      </c>
      <c r="B102" s="150" t="s">
        <v>19</v>
      </c>
      <c r="C102" s="150" t="s">
        <v>20</v>
      </c>
      <c r="D102" s="150" t="s">
        <v>21</v>
      </c>
      <c r="E102" s="523" t="s">
        <v>22</v>
      </c>
      <c r="F102" s="523"/>
      <c r="G102" s="523" t="s">
        <v>12</v>
      </c>
      <c r="H102" s="528"/>
      <c r="I102" s="164"/>
      <c r="J102" s="126" t="s">
        <v>39</v>
      </c>
      <c r="K102" s="127"/>
      <c r="L102" s="127"/>
      <c r="M102" s="22"/>
    </row>
    <row r="103" spans="1:13" s="152" customFormat="1" ht="23.25" thickBot="1">
      <c r="A103" s="521"/>
      <c r="B103" s="128" t="s">
        <v>1446</v>
      </c>
      <c r="C103" s="69" t="s">
        <v>1439</v>
      </c>
      <c r="D103" s="129">
        <v>43266</v>
      </c>
      <c r="E103" s="128"/>
      <c r="F103" s="69" t="s">
        <v>1440</v>
      </c>
      <c r="G103" s="524" t="s">
        <v>1441</v>
      </c>
      <c r="H103" s="525"/>
      <c r="I103" s="526"/>
      <c r="J103" s="70" t="s">
        <v>108</v>
      </c>
      <c r="K103" s="70"/>
      <c r="L103" s="70" t="s">
        <v>42</v>
      </c>
      <c r="M103" s="71">
        <v>248</v>
      </c>
    </row>
    <row r="104" spans="1:13" s="152" customFormat="1" ht="23.25" thickBot="1">
      <c r="A104" s="521"/>
      <c r="B104" s="153" t="s">
        <v>29</v>
      </c>
      <c r="C104" s="153" t="s">
        <v>30</v>
      </c>
      <c r="D104" s="153" t="s">
        <v>31</v>
      </c>
      <c r="E104" s="527" t="s">
        <v>32</v>
      </c>
      <c r="F104" s="527"/>
      <c r="G104" s="529"/>
      <c r="H104" s="530"/>
      <c r="I104" s="531"/>
      <c r="J104" s="72" t="s">
        <v>38</v>
      </c>
      <c r="K104" s="73" t="s">
        <v>42</v>
      </c>
      <c r="L104" s="73"/>
      <c r="M104" s="78">
        <v>165</v>
      </c>
    </row>
    <row r="105" spans="1:13" s="152" customFormat="1" ht="23.25" thickBot="1">
      <c r="A105" s="522"/>
      <c r="B105" s="133" t="s">
        <v>101</v>
      </c>
      <c r="C105" s="75" t="s">
        <v>1441</v>
      </c>
      <c r="D105" s="424">
        <v>43268</v>
      </c>
      <c r="E105" s="135" t="s">
        <v>36</v>
      </c>
      <c r="F105" s="77" t="s">
        <v>1442</v>
      </c>
      <c r="G105" s="539"/>
      <c r="H105" s="540"/>
      <c r="I105" s="541"/>
      <c r="J105" s="72" t="s">
        <v>98</v>
      </c>
      <c r="K105" s="73"/>
      <c r="L105" s="73" t="s">
        <v>42</v>
      </c>
      <c r="M105" s="78">
        <v>71</v>
      </c>
    </row>
    <row r="106" spans="1:13" s="152" customFormat="1" ht="24" customHeight="1" thickTop="1" thickBot="1">
      <c r="A106" s="518">
        <f>A105+323</f>
        <v>323</v>
      </c>
      <c r="B106" s="150" t="s">
        <v>19</v>
      </c>
      <c r="C106" s="150" t="s">
        <v>20</v>
      </c>
      <c r="D106" s="150" t="s">
        <v>21</v>
      </c>
      <c r="E106" s="523" t="s">
        <v>22</v>
      </c>
      <c r="F106" s="523"/>
      <c r="G106" s="523" t="s">
        <v>12</v>
      </c>
      <c r="H106" s="528"/>
      <c r="I106" s="164"/>
      <c r="J106" s="126" t="s">
        <v>39</v>
      </c>
      <c r="K106" s="127"/>
      <c r="L106" s="127"/>
      <c r="M106" s="22"/>
    </row>
    <row r="107" spans="1:13" s="152" customFormat="1" ht="23.25" thickBot="1">
      <c r="A107" s="521"/>
      <c r="B107" s="128" t="s">
        <v>1418</v>
      </c>
      <c r="C107" s="69" t="s">
        <v>1439</v>
      </c>
      <c r="D107" s="129">
        <v>43266</v>
      </c>
      <c r="E107" s="128"/>
      <c r="F107" s="69" t="s">
        <v>1440</v>
      </c>
      <c r="G107" s="524" t="s">
        <v>1441</v>
      </c>
      <c r="H107" s="525"/>
      <c r="I107" s="526"/>
      <c r="J107" s="70" t="s">
        <v>108</v>
      </c>
      <c r="K107" s="70"/>
      <c r="L107" s="70" t="s">
        <v>42</v>
      </c>
      <c r="M107" s="71">
        <v>248</v>
      </c>
    </row>
    <row r="108" spans="1:13" s="152" customFormat="1" ht="23.25" thickBot="1">
      <c r="A108" s="521"/>
      <c r="B108" s="153" t="s">
        <v>29</v>
      </c>
      <c r="C108" s="153" t="s">
        <v>30</v>
      </c>
      <c r="D108" s="153" t="s">
        <v>31</v>
      </c>
      <c r="E108" s="527" t="s">
        <v>32</v>
      </c>
      <c r="F108" s="527"/>
      <c r="G108" s="529"/>
      <c r="H108" s="530"/>
      <c r="I108" s="531"/>
      <c r="J108" s="72" t="s">
        <v>38</v>
      </c>
      <c r="K108" s="73" t="s">
        <v>42</v>
      </c>
      <c r="L108" s="73"/>
      <c r="M108" s="78">
        <v>165</v>
      </c>
    </row>
    <row r="109" spans="1:13" s="152" customFormat="1" ht="23.25" thickBot="1">
      <c r="A109" s="522"/>
      <c r="B109" s="133" t="s">
        <v>101</v>
      </c>
      <c r="C109" s="75" t="s">
        <v>1441</v>
      </c>
      <c r="D109" s="424">
        <v>43268</v>
      </c>
      <c r="E109" s="135" t="s">
        <v>36</v>
      </c>
      <c r="F109" s="77" t="s">
        <v>1442</v>
      </c>
      <c r="G109" s="539"/>
      <c r="H109" s="540"/>
      <c r="I109" s="541"/>
      <c r="J109" s="72" t="s">
        <v>98</v>
      </c>
      <c r="K109" s="73"/>
      <c r="L109" s="73" t="s">
        <v>42</v>
      </c>
      <c r="M109" s="78">
        <v>71</v>
      </c>
    </row>
    <row r="110" spans="1:13" s="152" customFormat="1" ht="24" customHeight="1" thickTop="1" thickBot="1">
      <c r="A110" s="518">
        <f>A109+324</f>
        <v>324</v>
      </c>
      <c r="B110" s="150" t="s">
        <v>19</v>
      </c>
      <c r="C110" s="150" t="s">
        <v>20</v>
      </c>
      <c r="D110" s="150" t="s">
        <v>21</v>
      </c>
      <c r="E110" s="523" t="s">
        <v>22</v>
      </c>
      <c r="F110" s="523"/>
      <c r="G110" s="523" t="s">
        <v>12</v>
      </c>
      <c r="H110" s="528"/>
      <c r="I110" s="164"/>
      <c r="J110" s="126" t="s">
        <v>39</v>
      </c>
      <c r="K110" s="127"/>
      <c r="L110" s="127"/>
      <c r="M110" s="22"/>
    </row>
    <row r="111" spans="1:13" s="152" customFormat="1" ht="23.25" thickBot="1">
      <c r="A111" s="521"/>
      <c r="B111" s="128" t="s">
        <v>1447</v>
      </c>
      <c r="C111" s="69" t="s">
        <v>1439</v>
      </c>
      <c r="D111" s="129">
        <v>43266</v>
      </c>
      <c r="E111" s="128"/>
      <c r="F111" s="69" t="s">
        <v>1440</v>
      </c>
      <c r="G111" s="524" t="s">
        <v>1441</v>
      </c>
      <c r="H111" s="525"/>
      <c r="I111" s="526"/>
      <c r="J111" s="70" t="s">
        <v>108</v>
      </c>
      <c r="K111" s="70"/>
      <c r="L111" s="70" t="s">
        <v>42</v>
      </c>
      <c r="M111" s="71">
        <v>248</v>
      </c>
    </row>
    <row r="112" spans="1:13" s="152" customFormat="1" ht="23.25" thickBot="1">
      <c r="A112" s="521"/>
      <c r="B112" s="153" t="s">
        <v>29</v>
      </c>
      <c r="C112" s="153" t="s">
        <v>30</v>
      </c>
      <c r="D112" s="153" t="s">
        <v>31</v>
      </c>
      <c r="E112" s="527" t="s">
        <v>32</v>
      </c>
      <c r="F112" s="527"/>
      <c r="G112" s="529"/>
      <c r="H112" s="530"/>
      <c r="I112" s="531"/>
      <c r="J112" s="72" t="s">
        <v>38</v>
      </c>
      <c r="K112" s="73" t="s">
        <v>42</v>
      </c>
      <c r="L112" s="73"/>
      <c r="M112" s="78">
        <v>165</v>
      </c>
    </row>
    <row r="113" spans="1:13" s="152" customFormat="1" ht="23.25" thickBot="1">
      <c r="A113" s="522"/>
      <c r="B113" s="133" t="s">
        <v>101</v>
      </c>
      <c r="C113" s="75" t="s">
        <v>1441</v>
      </c>
      <c r="D113" s="424">
        <v>43268</v>
      </c>
      <c r="E113" s="135" t="s">
        <v>36</v>
      </c>
      <c r="F113" s="77" t="s">
        <v>1442</v>
      </c>
      <c r="G113" s="539"/>
      <c r="H113" s="540"/>
      <c r="I113" s="541"/>
      <c r="J113" s="72" t="s">
        <v>98</v>
      </c>
      <c r="K113" s="73"/>
      <c r="L113" s="73" t="s">
        <v>42</v>
      </c>
      <c r="M113" s="78">
        <v>71</v>
      </c>
    </row>
    <row r="114" spans="1:13" s="152" customFormat="1" ht="24" customHeight="1" thickTop="1" thickBot="1">
      <c r="A114" s="518">
        <f>A113+325</f>
        <v>325</v>
      </c>
      <c r="B114" s="150" t="s">
        <v>19</v>
      </c>
      <c r="C114" s="150" t="s">
        <v>20</v>
      </c>
      <c r="D114" s="150" t="s">
        <v>21</v>
      </c>
      <c r="E114" s="523" t="s">
        <v>22</v>
      </c>
      <c r="F114" s="523"/>
      <c r="G114" s="523" t="s">
        <v>12</v>
      </c>
      <c r="H114" s="528"/>
      <c r="I114" s="164"/>
      <c r="J114" s="126" t="s">
        <v>39</v>
      </c>
      <c r="K114" s="127"/>
      <c r="L114" s="127"/>
      <c r="M114" s="22"/>
    </row>
    <row r="115" spans="1:13" s="152" customFormat="1" ht="23.25" thickBot="1">
      <c r="A115" s="521"/>
      <c r="B115" s="128" t="s">
        <v>128</v>
      </c>
      <c r="C115" s="69" t="s">
        <v>1439</v>
      </c>
      <c r="D115" s="129">
        <v>43266</v>
      </c>
      <c r="E115" s="128"/>
      <c r="F115" s="69" t="s">
        <v>1440</v>
      </c>
      <c r="G115" s="524" t="s">
        <v>1441</v>
      </c>
      <c r="H115" s="525"/>
      <c r="I115" s="526"/>
      <c r="J115" s="70" t="s">
        <v>108</v>
      </c>
      <c r="K115" s="70"/>
      <c r="L115" s="70" t="s">
        <v>42</v>
      </c>
      <c r="M115" s="71">
        <v>248</v>
      </c>
    </row>
    <row r="116" spans="1:13" s="152" customFormat="1" ht="23.25" thickBot="1">
      <c r="A116" s="521"/>
      <c r="B116" s="153" t="s">
        <v>29</v>
      </c>
      <c r="C116" s="153" t="s">
        <v>30</v>
      </c>
      <c r="D116" s="153" t="s">
        <v>31</v>
      </c>
      <c r="E116" s="527" t="s">
        <v>32</v>
      </c>
      <c r="F116" s="527"/>
      <c r="G116" s="529"/>
      <c r="H116" s="530"/>
      <c r="I116" s="531"/>
      <c r="J116" s="72" t="s">
        <v>38</v>
      </c>
      <c r="K116" s="73" t="s">
        <v>42</v>
      </c>
      <c r="L116" s="73"/>
      <c r="M116" s="78">
        <v>165</v>
      </c>
    </row>
    <row r="117" spans="1:13" s="152" customFormat="1" ht="23.25" thickBot="1">
      <c r="A117" s="522"/>
      <c r="B117" s="133" t="s">
        <v>101</v>
      </c>
      <c r="C117" s="75" t="s">
        <v>1441</v>
      </c>
      <c r="D117" s="424">
        <v>43268</v>
      </c>
      <c r="E117" s="135" t="s">
        <v>36</v>
      </c>
      <c r="F117" s="77" t="s">
        <v>1442</v>
      </c>
      <c r="G117" s="539"/>
      <c r="H117" s="540"/>
      <c r="I117" s="541"/>
      <c r="J117" s="72" t="s">
        <v>98</v>
      </c>
      <c r="K117" s="73"/>
      <c r="L117" s="73" t="s">
        <v>42</v>
      </c>
      <c r="M117" s="78">
        <v>71</v>
      </c>
    </row>
    <row r="118" spans="1:13" s="152" customFormat="1" ht="24" customHeight="1" thickTop="1" thickBot="1">
      <c r="A118" s="518">
        <f>A117+326</f>
        <v>326</v>
      </c>
      <c r="B118" s="150" t="s">
        <v>19</v>
      </c>
      <c r="C118" s="150" t="s">
        <v>20</v>
      </c>
      <c r="D118" s="150" t="s">
        <v>21</v>
      </c>
      <c r="E118" s="523" t="s">
        <v>22</v>
      </c>
      <c r="F118" s="523"/>
      <c r="G118" s="523" t="s">
        <v>12</v>
      </c>
      <c r="H118" s="528"/>
      <c r="I118" s="164"/>
      <c r="J118" s="126" t="s">
        <v>39</v>
      </c>
      <c r="K118" s="127"/>
      <c r="L118" s="127"/>
      <c r="M118" s="22"/>
    </row>
    <row r="119" spans="1:13" s="152" customFormat="1" ht="23.25" thickBot="1">
      <c r="A119" s="521"/>
      <c r="B119" s="128" t="s">
        <v>1417</v>
      </c>
      <c r="C119" s="69" t="s">
        <v>1439</v>
      </c>
      <c r="D119" s="129">
        <v>43266</v>
      </c>
      <c r="E119" s="128"/>
      <c r="F119" s="69" t="s">
        <v>1440</v>
      </c>
      <c r="G119" s="524" t="s">
        <v>1441</v>
      </c>
      <c r="H119" s="525"/>
      <c r="I119" s="526"/>
      <c r="J119" s="70" t="s">
        <v>108</v>
      </c>
      <c r="K119" s="70"/>
      <c r="L119" s="70" t="s">
        <v>42</v>
      </c>
      <c r="M119" s="71">
        <v>248</v>
      </c>
    </row>
    <row r="120" spans="1:13" s="152" customFormat="1" ht="23.25" thickBot="1">
      <c r="A120" s="521"/>
      <c r="B120" s="153" t="s">
        <v>29</v>
      </c>
      <c r="C120" s="153" t="s">
        <v>30</v>
      </c>
      <c r="D120" s="153" t="s">
        <v>31</v>
      </c>
      <c r="E120" s="527" t="s">
        <v>32</v>
      </c>
      <c r="F120" s="527"/>
      <c r="G120" s="529"/>
      <c r="H120" s="530"/>
      <c r="I120" s="531"/>
      <c r="J120" s="72" t="s">
        <v>38</v>
      </c>
      <c r="K120" s="73" t="s">
        <v>42</v>
      </c>
      <c r="L120" s="73"/>
      <c r="M120" s="78">
        <v>165</v>
      </c>
    </row>
    <row r="121" spans="1:13" s="152" customFormat="1" ht="23.25" thickBot="1">
      <c r="A121" s="522"/>
      <c r="B121" s="133" t="s">
        <v>101</v>
      </c>
      <c r="C121" s="75" t="s">
        <v>1441</v>
      </c>
      <c r="D121" s="424">
        <v>43268</v>
      </c>
      <c r="E121" s="135" t="s">
        <v>36</v>
      </c>
      <c r="F121" s="77" t="s">
        <v>1442</v>
      </c>
      <c r="G121" s="539"/>
      <c r="H121" s="540"/>
      <c r="I121" s="541"/>
      <c r="J121" s="72" t="s">
        <v>98</v>
      </c>
      <c r="K121" s="73"/>
      <c r="L121" s="73" t="s">
        <v>42</v>
      </c>
      <c r="M121" s="78">
        <v>71</v>
      </c>
    </row>
    <row r="122" spans="1:13" s="152" customFormat="1" ht="24" customHeight="1" thickTop="1" thickBot="1">
      <c r="A122" s="518">
        <f>A117+327</f>
        <v>327</v>
      </c>
      <c r="B122" s="150" t="s">
        <v>19</v>
      </c>
      <c r="C122" s="150" t="s">
        <v>20</v>
      </c>
      <c r="D122" s="150" t="s">
        <v>21</v>
      </c>
      <c r="E122" s="523" t="s">
        <v>22</v>
      </c>
      <c r="F122" s="523"/>
      <c r="G122" s="523" t="s">
        <v>12</v>
      </c>
      <c r="H122" s="528"/>
      <c r="I122" s="164"/>
      <c r="J122" s="126" t="s">
        <v>39</v>
      </c>
      <c r="K122" s="127"/>
      <c r="L122" s="127"/>
      <c r="M122" s="22"/>
    </row>
    <row r="123" spans="1:13" s="152" customFormat="1" ht="23.25" thickBot="1">
      <c r="A123" s="521"/>
      <c r="B123" s="128" t="s">
        <v>1448</v>
      </c>
      <c r="C123" s="69" t="s">
        <v>1439</v>
      </c>
      <c r="D123" s="129">
        <v>43266</v>
      </c>
      <c r="E123" s="128"/>
      <c r="F123" s="69" t="s">
        <v>1440</v>
      </c>
      <c r="G123" s="524" t="s">
        <v>1441</v>
      </c>
      <c r="H123" s="525"/>
      <c r="I123" s="526"/>
      <c r="J123" s="70" t="s">
        <v>108</v>
      </c>
      <c r="K123" s="70"/>
      <c r="L123" s="70" t="s">
        <v>42</v>
      </c>
      <c r="M123" s="71">
        <v>248</v>
      </c>
    </row>
    <row r="124" spans="1:13" s="152" customFormat="1" ht="23.25" thickBot="1">
      <c r="A124" s="521"/>
      <c r="B124" s="153" t="s">
        <v>29</v>
      </c>
      <c r="C124" s="153" t="s">
        <v>30</v>
      </c>
      <c r="D124" s="153" t="s">
        <v>31</v>
      </c>
      <c r="E124" s="527" t="s">
        <v>32</v>
      </c>
      <c r="F124" s="527"/>
      <c r="G124" s="529"/>
      <c r="H124" s="530"/>
      <c r="I124" s="531"/>
      <c r="J124" s="72" t="s">
        <v>38</v>
      </c>
      <c r="K124" s="73" t="s">
        <v>42</v>
      </c>
      <c r="L124" s="73"/>
      <c r="M124" s="78">
        <v>165</v>
      </c>
    </row>
    <row r="125" spans="1:13" s="152" customFormat="1" ht="23.25" thickBot="1">
      <c r="A125" s="522"/>
      <c r="B125" s="133" t="s">
        <v>101</v>
      </c>
      <c r="C125" s="75" t="s">
        <v>1441</v>
      </c>
      <c r="D125" s="424">
        <v>43268</v>
      </c>
      <c r="E125" s="135" t="s">
        <v>36</v>
      </c>
      <c r="F125" s="77" t="s">
        <v>1442</v>
      </c>
      <c r="G125" s="539"/>
      <c r="H125" s="540"/>
      <c r="I125" s="541"/>
      <c r="J125" s="72" t="s">
        <v>98</v>
      </c>
      <c r="K125" s="73"/>
      <c r="L125" s="73" t="s">
        <v>42</v>
      </c>
      <c r="M125" s="78">
        <v>71</v>
      </c>
    </row>
    <row r="126" spans="1:13" s="152" customFormat="1" ht="24" customHeight="1" thickTop="1" thickBot="1">
      <c r="A126" s="518">
        <f>A121+328</f>
        <v>328</v>
      </c>
      <c r="B126" s="150" t="s">
        <v>19</v>
      </c>
      <c r="C126" s="150" t="s">
        <v>20</v>
      </c>
      <c r="D126" s="150" t="s">
        <v>21</v>
      </c>
      <c r="E126" s="523" t="s">
        <v>22</v>
      </c>
      <c r="F126" s="523"/>
      <c r="G126" s="523" t="s">
        <v>12</v>
      </c>
      <c r="H126" s="528"/>
      <c r="I126" s="164"/>
      <c r="J126" s="126" t="s">
        <v>39</v>
      </c>
      <c r="K126" s="127"/>
      <c r="L126" s="127"/>
      <c r="M126" s="22"/>
    </row>
    <row r="127" spans="1:13" s="152" customFormat="1" ht="23.25" thickBot="1">
      <c r="A127" s="521"/>
      <c r="B127" s="128" t="s">
        <v>1449</v>
      </c>
      <c r="C127" s="69" t="s">
        <v>1439</v>
      </c>
      <c r="D127" s="129">
        <v>43266</v>
      </c>
      <c r="E127" s="128"/>
      <c r="F127" s="69" t="s">
        <v>1440</v>
      </c>
      <c r="G127" s="524" t="s">
        <v>1441</v>
      </c>
      <c r="H127" s="525"/>
      <c r="I127" s="526"/>
      <c r="J127" s="70" t="s">
        <v>108</v>
      </c>
      <c r="K127" s="70"/>
      <c r="L127" s="70" t="s">
        <v>42</v>
      </c>
      <c r="M127" s="71">
        <v>248</v>
      </c>
    </row>
    <row r="128" spans="1:13" s="152" customFormat="1" ht="23.25" thickBot="1">
      <c r="A128" s="521"/>
      <c r="B128" s="153" t="s">
        <v>29</v>
      </c>
      <c r="C128" s="153" t="s">
        <v>30</v>
      </c>
      <c r="D128" s="153" t="s">
        <v>31</v>
      </c>
      <c r="E128" s="527" t="s">
        <v>32</v>
      </c>
      <c r="F128" s="527"/>
      <c r="G128" s="529"/>
      <c r="H128" s="530"/>
      <c r="I128" s="531"/>
      <c r="J128" s="72" t="s">
        <v>38</v>
      </c>
      <c r="K128" s="73" t="s">
        <v>42</v>
      </c>
      <c r="L128" s="73"/>
      <c r="M128" s="78">
        <v>165</v>
      </c>
    </row>
    <row r="129" spans="1:13" s="152" customFormat="1" ht="23.25" thickBot="1">
      <c r="A129" s="522"/>
      <c r="B129" s="133" t="s">
        <v>101</v>
      </c>
      <c r="C129" s="75" t="s">
        <v>1441</v>
      </c>
      <c r="D129" s="424">
        <v>43268</v>
      </c>
      <c r="E129" s="135" t="s">
        <v>36</v>
      </c>
      <c r="F129" s="77" t="s">
        <v>1442</v>
      </c>
      <c r="G129" s="539"/>
      <c r="H129" s="540"/>
      <c r="I129" s="541"/>
      <c r="J129" s="72" t="s">
        <v>98</v>
      </c>
      <c r="K129" s="73"/>
      <c r="L129" s="73" t="s">
        <v>42</v>
      </c>
      <c r="M129" s="78">
        <v>71</v>
      </c>
    </row>
    <row r="130" spans="1:13" s="152" customFormat="1" ht="24" customHeight="1" thickTop="1" thickBot="1">
      <c r="A130" s="518">
        <f>A125+329</f>
        <v>329</v>
      </c>
      <c r="B130" s="150" t="s">
        <v>19</v>
      </c>
      <c r="C130" s="150" t="s">
        <v>20</v>
      </c>
      <c r="D130" s="150" t="s">
        <v>21</v>
      </c>
      <c r="E130" s="523" t="s">
        <v>22</v>
      </c>
      <c r="F130" s="523"/>
      <c r="G130" s="523" t="s">
        <v>12</v>
      </c>
      <c r="H130" s="528"/>
      <c r="I130" s="164"/>
      <c r="J130" s="126" t="s">
        <v>39</v>
      </c>
      <c r="K130" s="127"/>
      <c r="L130" s="127"/>
      <c r="M130" s="22"/>
    </row>
    <row r="131" spans="1:13" s="152" customFormat="1" ht="23.25" thickBot="1">
      <c r="A131" s="521"/>
      <c r="B131" s="128" t="s">
        <v>1450</v>
      </c>
      <c r="C131" s="69" t="s">
        <v>1439</v>
      </c>
      <c r="D131" s="129">
        <v>43266</v>
      </c>
      <c r="E131" s="128"/>
      <c r="F131" s="69" t="s">
        <v>1440</v>
      </c>
      <c r="G131" s="524" t="s">
        <v>1441</v>
      </c>
      <c r="H131" s="525"/>
      <c r="I131" s="526"/>
      <c r="J131" s="70" t="s">
        <v>108</v>
      </c>
      <c r="K131" s="70"/>
      <c r="L131" s="70" t="s">
        <v>42</v>
      </c>
      <c r="M131" s="71">
        <v>248</v>
      </c>
    </row>
    <row r="132" spans="1:13" s="152" customFormat="1" ht="23.25" thickBot="1">
      <c r="A132" s="521"/>
      <c r="B132" s="153" t="s">
        <v>29</v>
      </c>
      <c r="C132" s="153" t="s">
        <v>30</v>
      </c>
      <c r="D132" s="153" t="s">
        <v>31</v>
      </c>
      <c r="E132" s="527" t="s">
        <v>32</v>
      </c>
      <c r="F132" s="527"/>
      <c r="G132" s="529"/>
      <c r="H132" s="530"/>
      <c r="I132" s="531"/>
      <c r="J132" s="72" t="s">
        <v>38</v>
      </c>
      <c r="K132" s="73" t="s">
        <v>42</v>
      </c>
      <c r="L132" s="73"/>
      <c r="M132" s="78">
        <v>165</v>
      </c>
    </row>
    <row r="133" spans="1:13" s="152" customFormat="1" ht="23.25" thickBot="1">
      <c r="A133" s="522"/>
      <c r="B133" s="133" t="s">
        <v>101</v>
      </c>
      <c r="C133" s="75" t="s">
        <v>1441</v>
      </c>
      <c r="D133" s="424">
        <v>43268</v>
      </c>
      <c r="E133" s="135" t="s">
        <v>36</v>
      </c>
      <c r="F133" s="77" t="s">
        <v>1442</v>
      </c>
      <c r="G133" s="539"/>
      <c r="H133" s="540"/>
      <c r="I133" s="541"/>
      <c r="J133" s="72" t="s">
        <v>98</v>
      </c>
      <c r="K133" s="73"/>
      <c r="L133" s="73" t="s">
        <v>42</v>
      </c>
      <c r="M133" s="78">
        <v>71</v>
      </c>
    </row>
    <row r="134" spans="1:13" s="152" customFormat="1" ht="24" customHeight="1" thickTop="1" thickBot="1">
      <c r="A134" s="518">
        <f>A133+330</f>
        <v>330</v>
      </c>
      <c r="B134" s="150" t="s">
        <v>19</v>
      </c>
      <c r="C134" s="150" t="s">
        <v>20</v>
      </c>
      <c r="D134" s="150" t="s">
        <v>21</v>
      </c>
      <c r="E134" s="523" t="s">
        <v>22</v>
      </c>
      <c r="F134" s="523"/>
      <c r="G134" s="565" t="s">
        <v>12</v>
      </c>
      <c r="H134" s="566"/>
      <c r="I134" s="567"/>
      <c r="J134" s="126" t="s">
        <v>39</v>
      </c>
      <c r="K134" s="127"/>
      <c r="L134" s="99"/>
      <c r="M134" s="425"/>
    </row>
    <row r="135" spans="1:13" s="152" customFormat="1" ht="23.25" thickBot="1">
      <c r="A135" s="521"/>
      <c r="B135" s="128" t="s">
        <v>1451</v>
      </c>
      <c r="C135" s="128" t="s">
        <v>1452</v>
      </c>
      <c r="D135" s="129">
        <v>43360</v>
      </c>
      <c r="E135" s="128"/>
      <c r="F135" s="128" t="s">
        <v>1453</v>
      </c>
      <c r="G135" s="524" t="s">
        <v>1012</v>
      </c>
      <c r="H135" s="585"/>
      <c r="I135" s="586"/>
      <c r="J135" s="130" t="s">
        <v>123</v>
      </c>
      <c r="K135" s="130"/>
      <c r="L135" s="87" t="s">
        <v>42</v>
      </c>
      <c r="M135" s="426">
        <v>1200</v>
      </c>
    </row>
    <row r="136" spans="1:13" s="152" customFormat="1" ht="23.25" thickBot="1">
      <c r="A136" s="521"/>
      <c r="B136" s="153" t="s">
        <v>29</v>
      </c>
      <c r="C136" s="153" t="s">
        <v>30</v>
      </c>
      <c r="D136" s="153" t="s">
        <v>31</v>
      </c>
      <c r="E136" s="580" t="s">
        <v>32</v>
      </c>
      <c r="F136" s="581"/>
      <c r="G136" s="529"/>
      <c r="H136" s="530"/>
      <c r="I136" s="531"/>
      <c r="J136" s="131" t="s">
        <v>40</v>
      </c>
      <c r="K136" s="132"/>
      <c r="L136" s="90"/>
      <c r="M136" s="427"/>
    </row>
    <row r="137" spans="1:13" s="152" customFormat="1" ht="23.25" thickBot="1">
      <c r="A137" s="522"/>
      <c r="B137" s="133" t="s">
        <v>1454</v>
      </c>
      <c r="C137" s="133" t="s">
        <v>1012</v>
      </c>
      <c r="D137" s="144">
        <v>43362</v>
      </c>
      <c r="E137" s="135" t="s">
        <v>36</v>
      </c>
      <c r="F137" s="136" t="s">
        <v>1455</v>
      </c>
      <c r="G137" s="582"/>
      <c r="H137" s="583"/>
      <c r="I137" s="584"/>
      <c r="J137" s="131" t="s">
        <v>41</v>
      </c>
      <c r="K137" s="132"/>
      <c r="L137" s="90"/>
      <c r="M137" s="427"/>
    </row>
    <row r="138" spans="1:13" s="152" customFormat="1" ht="24" customHeight="1" thickTop="1" thickBot="1">
      <c r="A138" s="518">
        <f>A137+331</f>
        <v>331</v>
      </c>
      <c r="B138" s="150" t="s">
        <v>19</v>
      </c>
      <c r="C138" s="150" t="s">
        <v>20</v>
      </c>
      <c r="D138" s="150" t="s">
        <v>21</v>
      </c>
      <c r="E138" s="523" t="s">
        <v>22</v>
      </c>
      <c r="F138" s="523"/>
      <c r="G138" s="523" t="s">
        <v>12</v>
      </c>
      <c r="H138" s="528"/>
      <c r="I138" s="164"/>
      <c r="J138" s="126" t="s">
        <v>39</v>
      </c>
      <c r="K138" s="127"/>
      <c r="L138" s="99"/>
      <c r="M138" s="428"/>
    </row>
    <row r="139" spans="1:13" s="152" customFormat="1" ht="23.25" thickBot="1">
      <c r="A139" s="521"/>
      <c r="B139" s="128" t="s">
        <v>1456</v>
      </c>
      <c r="C139" s="128" t="s">
        <v>1457</v>
      </c>
      <c r="D139" s="129">
        <v>43354</v>
      </c>
      <c r="E139" s="128"/>
      <c r="F139" s="128" t="s">
        <v>1458</v>
      </c>
      <c r="G139" s="524" t="s">
        <v>1459</v>
      </c>
      <c r="H139" s="525"/>
      <c r="I139" s="526"/>
      <c r="J139" s="130" t="s">
        <v>27</v>
      </c>
      <c r="K139" s="130"/>
      <c r="L139" s="87" t="s">
        <v>42</v>
      </c>
      <c r="M139" s="426">
        <v>545</v>
      </c>
    </row>
    <row r="140" spans="1:13" s="152" customFormat="1" ht="23.25" thickBot="1">
      <c r="A140" s="521"/>
      <c r="B140" s="153" t="s">
        <v>29</v>
      </c>
      <c r="C140" s="153" t="s">
        <v>30</v>
      </c>
      <c r="D140" s="153" t="s">
        <v>31</v>
      </c>
      <c r="E140" s="527" t="s">
        <v>32</v>
      </c>
      <c r="F140" s="527"/>
      <c r="G140" s="529"/>
      <c r="H140" s="530"/>
      <c r="I140" s="531"/>
      <c r="J140" s="131" t="s">
        <v>40</v>
      </c>
      <c r="K140" s="132"/>
      <c r="L140" s="90"/>
      <c r="M140" s="429"/>
    </row>
    <row r="141" spans="1:13" s="152" customFormat="1" ht="23.25" thickBot="1">
      <c r="A141" s="522"/>
      <c r="B141" s="133" t="s">
        <v>1460</v>
      </c>
      <c r="C141" s="133" t="s">
        <v>1459</v>
      </c>
      <c r="D141" s="144">
        <v>43356</v>
      </c>
      <c r="E141" s="135" t="s">
        <v>36</v>
      </c>
      <c r="F141" s="430" t="s">
        <v>1461</v>
      </c>
      <c r="G141" s="539"/>
      <c r="H141" s="540"/>
      <c r="I141" s="541"/>
      <c r="J141" s="131" t="s">
        <v>41</v>
      </c>
      <c r="K141" s="132"/>
      <c r="L141" s="90"/>
      <c r="M141" s="429"/>
    </row>
    <row r="142" spans="1:13" s="152" customFormat="1" ht="24" customHeight="1" thickTop="1" thickBot="1">
      <c r="A142" s="518">
        <v>332</v>
      </c>
      <c r="B142" s="150" t="s">
        <v>19</v>
      </c>
      <c r="C142" s="150" t="s">
        <v>20</v>
      </c>
      <c r="D142" s="150" t="s">
        <v>21</v>
      </c>
      <c r="E142" s="523" t="s">
        <v>22</v>
      </c>
      <c r="F142" s="523"/>
      <c r="G142" s="523" t="s">
        <v>12</v>
      </c>
      <c r="H142" s="528"/>
      <c r="I142" s="164"/>
      <c r="J142" s="126" t="s">
        <v>39</v>
      </c>
      <c r="K142" s="127"/>
      <c r="L142" s="99"/>
      <c r="M142" s="428"/>
    </row>
    <row r="143" spans="1:13" s="152" customFormat="1" ht="23.25" thickBot="1">
      <c r="A143" s="521"/>
      <c r="B143" s="128" t="s">
        <v>1462</v>
      </c>
      <c r="C143" s="128" t="s">
        <v>1457</v>
      </c>
      <c r="D143" s="129">
        <v>43354</v>
      </c>
      <c r="E143" s="128"/>
      <c r="F143" s="128" t="s">
        <v>1458</v>
      </c>
      <c r="G143" s="524" t="s">
        <v>1459</v>
      </c>
      <c r="H143" s="525"/>
      <c r="I143" s="526"/>
      <c r="J143" s="130" t="s">
        <v>27</v>
      </c>
      <c r="K143" s="130"/>
      <c r="L143" s="87" t="s">
        <v>42</v>
      </c>
      <c r="M143" s="426">
        <v>545</v>
      </c>
    </row>
    <row r="144" spans="1:13" s="152" customFormat="1" ht="23.25" thickBot="1">
      <c r="A144" s="521"/>
      <c r="B144" s="153" t="s">
        <v>29</v>
      </c>
      <c r="C144" s="153" t="s">
        <v>30</v>
      </c>
      <c r="D144" s="153" t="s">
        <v>31</v>
      </c>
      <c r="E144" s="527" t="s">
        <v>32</v>
      </c>
      <c r="F144" s="527"/>
      <c r="G144" s="529"/>
      <c r="H144" s="530"/>
      <c r="I144" s="531"/>
      <c r="J144" s="131" t="s">
        <v>40</v>
      </c>
      <c r="K144" s="132"/>
      <c r="L144" s="90"/>
      <c r="M144" s="429"/>
    </row>
    <row r="145" spans="1:13" s="152" customFormat="1" ht="15.75" thickBot="1">
      <c r="A145" s="522"/>
      <c r="B145" s="133" t="s">
        <v>1463</v>
      </c>
      <c r="C145" s="133" t="s">
        <v>1459</v>
      </c>
      <c r="D145" s="144">
        <v>43356</v>
      </c>
      <c r="E145" s="135" t="s">
        <v>36</v>
      </c>
      <c r="F145" s="430" t="s">
        <v>1461</v>
      </c>
      <c r="G145" s="539"/>
      <c r="H145" s="540"/>
      <c r="I145" s="541"/>
      <c r="J145" s="131" t="s">
        <v>41</v>
      </c>
      <c r="K145" s="132"/>
      <c r="L145" s="90"/>
      <c r="M145" s="429"/>
    </row>
    <row r="146" spans="1:13" s="152" customFormat="1" ht="24" customHeight="1" thickTop="1" thickBot="1">
      <c r="A146" s="518">
        <v>333</v>
      </c>
      <c r="B146" s="150" t="s">
        <v>19</v>
      </c>
      <c r="C146" s="150" t="s">
        <v>20</v>
      </c>
      <c r="D146" s="150" t="s">
        <v>21</v>
      </c>
      <c r="E146" s="523" t="s">
        <v>22</v>
      </c>
      <c r="F146" s="523"/>
      <c r="G146" s="523" t="s">
        <v>12</v>
      </c>
      <c r="H146" s="528"/>
      <c r="I146" s="164"/>
      <c r="J146" s="126" t="s">
        <v>39</v>
      </c>
      <c r="K146" s="127"/>
      <c r="L146" s="99"/>
      <c r="M146" s="428"/>
    </row>
    <row r="147" spans="1:13" s="152" customFormat="1" ht="23.25" thickBot="1">
      <c r="A147" s="521"/>
      <c r="B147" s="128" t="s">
        <v>1464</v>
      </c>
      <c r="C147" s="128" t="s">
        <v>1457</v>
      </c>
      <c r="D147" s="129">
        <v>43354</v>
      </c>
      <c r="E147" s="128"/>
      <c r="F147" s="128" t="s">
        <v>1458</v>
      </c>
      <c r="G147" s="524" t="s">
        <v>1459</v>
      </c>
      <c r="H147" s="525"/>
      <c r="I147" s="526"/>
      <c r="J147" s="130" t="s">
        <v>27</v>
      </c>
      <c r="K147" s="130"/>
      <c r="L147" s="87" t="s">
        <v>42</v>
      </c>
      <c r="M147" s="426">
        <v>545</v>
      </c>
    </row>
    <row r="148" spans="1:13" s="152" customFormat="1" ht="23.25" thickBot="1">
      <c r="A148" s="521"/>
      <c r="B148" s="153" t="s">
        <v>29</v>
      </c>
      <c r="C148" s="153" t="s">
        <v>30</v>
      </c>
      <c r="D148" s="153" t="s">
        <v>31</v>
      </c>
      <c r="E148" s="527" t="s">
        <v>32</v>
      </c>
      <c r="F148" s="527"/>
      <c r="G148" s="529"/>
      <c r="H148" s="530"/>
      <c r="I148" s="531"/>
      <c r="J148" s="131" t="s">
        <v>40</v>
      </c>
      <c r="K148" s="132"/>
      <c r="L148" s="90"/>
      <c r="M148" s="429"/>
    </row>
    <row r="149" spans="1:13" s="152" customFormat="1" ht="23.25" thickBot="1">
      <c r="A149" s="522"/>
      <c r="B149" s="133" t="s">
        <v>1465</v>
      </c>
      <c r="C149" s="133" t="s">
        <v>1459</v>
      </c>
      <c r="D149" s="144">
        <v>43356</v>
      </c>
      <c r="E149" s="135" t="s">
        <v>36</v>
      </c>
      <c r="F149" s="430" t="s">
        <v>1461</v>
      </c>
      <c r="G149" s="539"/>
      <c r="H149" s="540"/>
      <c r="I149" s="541"/>
      <c r="J149" s="131" t="s">
        <v>41</v>
      </c>
      <c r="K149" s="132"/>
      <c r="L149" s="90"/>
      <c r="M149" s="429"/>
    </row>
    <row r="150" spans="1:13" s="152" customFormat="1" ht="24" customHeight="1" thickTop="1" thickBot="1">
      <c r="A150" s="518">
        <v>334</v>
      </c>
      <c r="B150" s="150" t="s">
        <v>19</v>
      </c>
      <c r="C150" s="150" t="s">
        <v>20</v>
      </c>
      <c r="D150" s="150" t="s">
        <v>21</v>
      </c>
      <c r="E150" s="523" t="s">
        <v>22</v>
      </c>
      <c r="F150" s="523"/>
      <c r="G150" s="523" t="s">
        <v>12</v>
      </c>
      <c r="H150" s="528"/>
      <c r="I150" s="164"/>
      <c r="J150" s="126" t="s">
        <v>39</v>
      </c>
      <c r="K150" s="127"/>
      <c r="L150" s="99"/>
      <c r="M150" s="428"/>
    </row>
    <row r="151" spans="1:13" s="152" customFormat="1" ht="23.25" thickBot="1">
      <c r="A151" s="521"/>
      <c r="B151" s="128" t="s">
        <v>1466</v>
      </c>
      <c r="C151" s="128" t="s">
        <v>1457</v>
      </c>
      <c r="D151" s="129">
        <v>43354</v>
      </c>
      <c r="E151" s="128"/>
      <c r="F151" s="128" t="s">
        <v>1458</v>
      </c>
      <c r="G151" s="524" t="s">
        <v>1459</v>
      </c>
      <c r="H151" s="525"/>
      <c r="I151" s="526"/>
      <c r="J151" s="130" t="s">
        <v>27</v>
      </c>
      <c r="K151" s="130"/>
      <c r="L151" s="87" t="s">
        <v>42</v>
      </c>
      <c r="M151" s="426">
        <v>545</v>
      </c>
    </row>
    <row r="152" spans="1:13" s="152" customFormat="1" ht="23.25" thickBot="1">
      <c r="A152" s="521"/>
      <c r="B152" s="153" t="s">
        <v>29</v>
      </c>
      <c r="C152" s="153" t="s">
        <v>30</v>
      </c>
      <c r="D152" s="153" t="s">
        <v>31</v>
      </c>
      <c r="E152" s="527" t="s">
        <v>32</v>
      </c>
      <c r="F152" s="527"/>
      <c r="G152" s="529"/>
      <c r="H152" s="530"/>
      <c r="I152" s="531"/>
      <c r="J152" s="131" t="s">
        <v>40</v>
      </c>
      <c r="K152" s="132"/>
      <c r="L152" s="90"/>
      <c r="M152" s="429"/>
    </row>
    <row r="153" spans="1:13" s="152" customFormat="1" ht="15.75" thickBot="1">
      <c r="A153" s="522"/>
      <c r="B153" s="134" t="s">
        <v>1467</v>
      </c>
      <c r="C153" s="133" t="s">
        <v>1459</v>
      </c>
      <c r="D153" s="144">
        <v>43356</v>
      </c>
      <c r="E153" s="135" t="s">
        <v>36</v>
      </c>
      <c r="F153" s="430" t="s">
        <v>1461</v>
      </c>
      <c r="G153" s="539"/>
      <c r="H153" s="540"/>
      <c r="I153" s="541"/>
      <c r="J153" s="131" t="s">
        <v>41</v>
      </c>
      <c r="K153" s="132"/>
      <c r="L153" s="90"/>
      <c r="M153" s="429"/>
    </row>
    <row r="154" spans="1:13" s="152" customFormat="1" ht="24" customHeight="1" thickTop="1" thickBot="1">
      <c r="A154" s="518">
        <v>335</v>
      </c>
      <c r="B154" s="150" t="s">
        <v>19</v>
      </c>
      <c r="C154" s="150" t="s">
        <v>20</v>
      </c>
      <c r="D154" s="150" t="s">
        <v>21</v>
      </c>
      <c r="E154" s="523" t="s">
        <v>22</v>
      </c>
      <c r="F154" s="523"/>
      <c r="G154" s="523" t="s">
        <v>12</v>
      </c>
      <c r="H154" s="528"/>
      <c r="I154" s="164"/>
      <c r="J154" s="126" t="s">
        <v>39</v>
      </c>
      <c r="K154" s="127"/>
      <c r="L154" s="99"/>
      <c r="M154" s="428"/>
    </row>
    <row r="155" spans="1:13" s="152" customFormat="1" ht="23.25" thickBot="1">
      <c r="A155" s="521"/>
      <c r="B155" s="128" t="s">
        <v>1468</v>
      </c>
      <c r="C155" s="128" t="s">
        <v>1457</v>
      </c>
      <c r="D155" s="129">
        <v>43354</v>
      </c>
      <c r="E155" s="128"/>
      <c r="F155" s="128" t="s">
        <v>1458</v>
      </c>
      <c r="G155" s="524" t="s">
        <v>1459</v>
      </c>
      <c r="H155" s="525"/>
      <c r="I155" s="526"/>
      <c r="J155" s="130" t="s">
        <v>27</v>
      </c>
      <c r="K155" s="130"/>
      <c r="L155" s="87" t="s">
        <v>42</v>
      </c>
      <c r="M155" s="426">
        <v>545</v>
      </c>
    </row>
    <row r="156" spans="1:13" s="152" customFormat="1" ht="23.25" thickBot="1">
      <c r="A156" s="521"/>
      <c r="B156" s="153" t="s">
        <v>29</v>
      </c>
      <c r="C156" s="153" t="s">
        <v>30</v>
      </c>
      <c r="D156" s="153" t="s">
        <v>31</v>
      </c>
      <c r="E156" s="527" t="s">
        <v>32</v>
      </c>
      <c r="F156" s="527"/>
      <c r="G156" s="529"/>
      <c r="H156" s="530"/>
      <c r="I156" s="531"/>
      <c r="J156" s="131" t="s">
        <v>40</v>
      </c>
      <c r="K156" s="132"/>
      <c r="L156" s="90"/>
      <c r="M156" s="429"/>
    </row>
    <row r="157" spans="1:13" s="152" customFormat="1" ht="15.75" thickBot="1">
      <c r="A157" s="522"/>
      <c r="B157" s="133" t="s">
        <v>1469</v>
      </c>
      <c r="C157" s="133" t="s">
        <v>1459</v>
      </c>
      <c r="D157" s="144">
        <v>43356</v>
      </c>
      <c r="E157" s="135" t="s">
        <v>36</v>
      </c>
      <c r="F157" s="430" t="s">
        <v>1461</v>
      </c>
      <c r="G157" s="539"/>
      <c r="H157" s="540"/>
      <c r="I157" s="541"/>
      <c r="J157" s="131" t="s">
        <v>41</v>
      </c>
      <c r="K157" s="132"/>
      <c r="L157" s="90"/>
      <c r="M157" s="429"/>
    </row>
    <row r="158" spans="1:13" s="152" customFormat="1" ht="24" customHeight="1" thickTop="1" thickBot="1">
      <c r="A158" s="518">
        <v>336</v>
      </c>
      <c r="B158" s="150" t="s">
        <v>19</v>
      </c>
      <c r="C158" s="150" t="s">
        <v>20</v>
      </c>
      <c r="D158" s="150" t="s">
        <v>21</v>
      </c>
      <c r="E158" s="523" t="s">
        <v>22</v>
      </c>
      <c r="F158" s="523"/>
      <c r="G158" s="523" t="s">
        <v>12</v>
      </c>
      <c r="H158" s="528"/>
      <c r="I158" s="164"/>
      <c r="J158" s="126" t="s">
        <v>39</v>
      </c>
      <c r="K158" s="127"/>
      <c r="L158" s="99"/>
      <c r="M158" s="428"/>
    </row>
    <row r="159" spans="1:13" s="152" customFormat="1" ht="15.75" thickBot="1">
      <c r="A159" s="521"/>
      <c r="B159" s="128" t="s">
        <v>1470</v>
      </c>
      <c r="C159" s="128" t="s">
        <v>1471</v>
      </c>
      <c r="D159" s="129">
        <v>43337</v>
      </c>
      <c r="E159" s="128"/>
      <c r="F159" s="128" t="s">
        <v>1472</v>
      </c>
      <c r="G159" s="524" t="s">
        <v>1473</v>
      </c>
      <c r="H159" s="525"/>
      <c r="I159" s="526"/>
      <c r="J159" s="130" t="s">
        <v>27</v>
      </c>
      <c r="K159" s="130"/>
      <c r="L159" s="87" t="s">
        <v>42</v>
      </c>
      <c r="M159" s="426">
        <v>669</v>
      </c>
    </row>
    <row r="160" spans="1:13" s="152" customFormat="1" ht="23.25" thickBot="1">
      <c r="A160" s="521"/>
      <c r="B160" s="153" t="s">
        <v>7</v>
      </c>
      <c r="C160" s="153" t="s">
        <v>30</v>
      </c>
      <c r="D160" s="153" t="s">
        <v>31</v>
      </c>
      <c r="E160" s="527" t="s">
        <v>32</v>
      </c>
      <c r="F160" s="527"/>
      <c r="G160" s="529"/>
      <c r="H160" s="530"/>
      <c r="I160" s="531"/>
      <c r="J160" s="131" t="s">
        <v>40</v>
      </c>
      <c r="K160" s="132"/>
      <c r="L160" s="90"/>
      <c r="M160" s="429"/>
    </row>
    <row r="161" spans="1:13" s="152" customFormat="1" ht="23.25" thickBot="1">
      <c r="A161" s="522"/>
      <c r="B161" s="133" t="s">
        <v>1474</v>
      </c>
      <c r="C161" s="133" t="s">
        <v>1473</v>
      </c>
      <c r="D161" s="144">
        <v>43341</v>
      </c>
      <c r="E161" s="135" t="s">
        <v>36</v>
      </c>
      <c r="F161" s="430" t="s">
        <v>1475</v>
      </c>
      <c r="G161" s="539"/>
      <c r="H161" s="540"/>
      <c r="I161" s="541"/>
      <c r="J161" s="131" t="s">
        <v>41</v>
      </c>
      <c r="K161" s="132"/>
      <c r="L161" s="90"/>
      <c r="M161" s="429"/>
    </row>
    <row r="162" spans="1:13" s="152" customFormat="1" ht="24" customHeight="1" thickTop="1" thickBot="1">
      <c r="A162" s="518">
        <v>337</v>
      </c>
      <c r="B162" s="150" t="s">
        <v>19</v>
      </c>
      <c r="C162" s="150" t="s">
        <v>20</v>
      </c>
      <c r="D162" s="150" t="s">
        <v>21</v>
      </c>
      <c r="E162" s="523" t="s">
        <v>22</v>
      </c>
      <c r="F162" s="523"/>
      <c r="G162" s="523" t="s">
        <v>12</v>
      </c>
      <c r="H162" s="528"/>
      <c r="I162" s="164"/>
      <c r="J162" s="126" t="s">
        <v>39</v>
      </c>
      <c r="K162" s="127"/>
      <c r="L162" s="99"/>
      <c r="M162" s="428"/>
    </row>
    <row r="163" spans="1:13" s="152" customFormat="1" ht="15.75" thickBot="1">
      <c r="A163" s="521"/>
      <c r="B163" s="128" t="s">
        <v>1476</v>
      </c>
      <c r="C163" s="128" t="s">
        <v>1471</v>
      </c>
      <c r="D163" s="129">
        <v>43337</v>
      </c>
      <c r="E163" s="128"/>
      <c r="F163" s="128" t="s">
        <v>1472</v>
      </c>
      <c r="G163" s="524" t="s">
        <v>1473</v>
      </c>
      <c r="H163" s="525"/>
      <c r="I163" s="526"/>
      <c r="J163" s="130" t="s">
        <v>27</v>
      </c>
      <c r="K163" s="130"/>
      <c r="L163" s="87" t="s">
        <v>42</v>
      </c>
      <c r="M163" s="426">
        <v>669</v>
      </c>
    </row>
    <row r="164" spans="1:13" s="152" customFormat="1" ht="23.25" thickBot="1">
      <c r="A164" s="521"/>
      <c r="B164" s="153" t="s">
        <v>29</v>
      </c>
      <c r="C164" s="153" t="s">
        <v>30</v>
      </c>
      <c r="D164" s="153" t="s">
        <v>31</v>
      </c>
      <c r="E164" s="527" t="s">
        <v>32</v>
      </c>
      <c r="F164" s="527"/>
      <c r="G164" s="529"/>
      <c r="H164" s="530"/>
      <c r="I164" s="531"/>
      <c r="J164" s="131" t="s">
        <v>40</v>
      </c>
      <c r="K164" s="132"/>
      <c r="L164" s="90"/>
      <c r="M164" s="429"/>
    </row>
    <row r="165" spans="1:13" s="152" customFormat="1" ht="23.25" thickBot="1">
      <c r="A165" s="522"/>
      <c r="B165" s="133" t="s">
        <v>1477</v>
      </c>
      <c r="C165" s="133" t="s">
        <v>1473</v>
      </c>
      <c r="D165" s="144">
        <v>43341</v>
      </c>
      <c r="E165" s="135" t="s">
        <v>36</v>
      </c>
      <c r="F165" s="430" t="s">
        <v>1475</v>
      </c>
      <c r="G165" s="539"/>
      <c r="H165" s="540"/>
      <c r="I165" s="541"/>
      <c r="J165" s="131" t="s">
        <v>41</v>
      </c>
      <c r="K165" s="132"/>
      <c r="L165" s="90"/>
      <c r="M165" s="429"/>
    </row>
    <row r="166" spans="1:13" s="152" customFormat="1" ht="24" customHeight="1" thickTop="1" thickBot="1">
      <c r="A166" s="518">
        <v>338</v>
      </c>
      <c r="B166" s="150" t="s">
        <v>19</v>
      </c>
      <c r="C166" s="150" t="s">
        <v>20</v>
      </c>
      <c r="D166" s="150" t="s">
        <v>21</v>
      </c>
      <c r="E166" s="523" t="s">
        <v>22</v>
      </c>
      <c r="F166" s="523"/>
      <c r="G166" s="523" t="s">
        <v>12</v>
      </c>
      <c r="H166" s="528"/>
      <c r="I166" s="164"/>
      <c r="J166" s="126" t="s">
        <v>39</v>
      </c>
      <c r="K166" s="127"/>
      <c r="L166" s="99"/>
      <c r="M166" s="428"/>
    </row>
    <row r="167" spans="1:13" s="152" customFormat="1" ht="15.75" thickBot="1">
      <c r="A167" s="521"/>
      <c r="B167" s="128" t="s">
        <v>1478</v>
      </c>
      <c r="C167" s="128" t="s">
        <v>1471</v>
      </c>
      <c r="D167" s="129">
        <v>43337</v>
      </c>
      <c r="E167" s="128"/>
      <c r="F167" s="128" t="s">
        <v>1472</v>
      </c>
      <c r="G167" s="524" t="s">
        <v>1473</v>
      </c>
      <c r="H167" s="525"/>
      <c r="I167" s="526"/>
      <c r="J167" s="130" t="s">
        <v>27</v>
      </c>
      <c r="K167" s="130"/>
      <c r="L167" s="87" t="s">
        <v>42</v>
      </c>
      <c r="M167" s="426">
        <v>669</v>
      </c>
    </row>
    <row r="168" spans="1:13" s="152" customFormat="1" ht="23.25" thickBot="1">
      <c r="A168" s="521"/>
      <c r="B168" s="153" t="s">
        <v>29</v>
      </c>
      <c r="C168" s="153" t="s">
        <v>30</v>
      </c>
      <c r="D168" s="153" t="s">
        <v>31</v>
      </c>
      <c r="E168" s="527" t="s">
        <v>32</v>
      </c>
      <c r="F168" s="527"/>
      <c r="G168" s="529"/>
      <c r="H168" s="530"/>
      <c r="I168" s="531"/>
      <c r="J168" s="131" t="s">
        <v>40</v>
      </c>
      <c r="K168" s="132"/>
      <c r="L168" s="90"/>
      <c r="M168" s="429"/>
    </row>
    <row r="169" spans="1:13" s="152" customFormat="1" ht="23.25" thickBot="1">
      <c r="A169" s="522"/>
      <c r="B169" s="133" t="s">
        <v>1479</v>
      </c>
      <c r="C169" s="133" t="s">
        <v>1473</v>
      </c>
      <c r="D169" s="144">
        <v>43341</v>
      </c>
      <c r="E169" s="135" t="s">
        <v>36</v>
      </c>
      <c r="F169" s="430" t="s">
        <v>1475</v>
      </c>
      <c r="G169" s="539"/>
      <c r="H169" s="540"/>
      <c r="I169" s="541"/>
      <c r="J169" s="131" t="s">
        <v>41</v>
      </c>
      <c r="K169" s="132"/>
      <c r="L169" s="90"/>
      <c r="M169" s="429"/>
    </row>
    <row r="170" spans="1:13" s="152" customFormat="1" ht="24" customHeight="1" thickTop="1" thickBot="1">
      <c r="A170" s="518">
        <v>339</v>
      </c>
      <c r="B170" s="150" t="s">
        <v>19</v>
      </c>
      <c r="C170" s="150" t="s">
        <v>20</v>
      </c>
      <c r="D170" s="150" t="s">
        <v>21</v>
      </c>
      <c r="E170" s="523" t="s">
        <v>22</v>
      </c>
      <c r="F170" s="523"/>
      <c r="G170" s="523" t="s">
        <v>12</v>
      </c>
      <c r="H170" s="528"/>
      <c r="I170" s="164"/>
      <c r="J170" s="126" t="s">
        <v>39</v>
      </c>
      <c r="K170" s="127"/>
      <c r="L170" s="99"/>
      <c r="M170" s="428"/>
    </row>
    <row r="171" spans="1:13" s="152" customFormat="1" ht="23.25" thickBot="1">
      <c r="A171" s="521"/>
      <c r="B171" s="128" t="s">
        <v>1480</v>
      </c>
      <c r="C171" s="128" t="s">
        <v>1481</v>
      </c>
      <c r="D171" s="129">
        <v>43329</v>
      </c>
      <c r="E171" s="128"/>
      <c r="F171" s="128" t="s">
        <v>144</v>
      </c>
      <c r="G171" s="524" t="s">
        <v>1482</v>
      </c>
      <c r="H171" s="525"/>
      <c r="I171" s="526"/>
      <c r="J171" s="130" t="s">
        <v>163</v>
      </c>
      <c r="K171" s="130"/>
      <c r="L171" s="87" t="s">
        <v>42</v>
      </c>
      <c r="M171" s="426">
        <v>1757.31</v>
      </c>
    </row>
    <row r="172" spans="1:13" s="152" customFormat="1" ht="23.25" thickBot="1">
      <c r="A172" s="521"/>
      <c r="B172" s="153" t="s">
        <v>29</v>
      </c>
      <c r="C172" s="153" t="s">
        <v>30</v>
      </c>
      <c r="D172" s="153" t="s">
        <v>31</v>
      </c>
      <c r="E172" s="527" t="s">
        <v>32</v>
      </c>
      <c r="F172" s="527"/>
      <c r="G172" s="529"/>
      <c r="H172" s="530"/>
      <c r="I172" s="531"/>
      <c r="J172" s="131" t="s">
        <v>108</v>
      </c>
      <c r="K172" s="132"/>
      <c r="L172" s="90" t="s">
        <v>42</v>
      </c>
      <c r="M172" s="429">
        <v>268</v>
      </c>
    </row>
    <row r="173" spans="1:13" s="152" customFormat="1" ht="23.25" thickBot="1">
      <c r="A173" s="522"/>
      <c r="B173" s="133" t="s">
        <v>1483</v>
      </c>
      <c r="C173" s="133" t="s">
        <v>1484</v>
      </c>
      <c r="D173" s="144">
        <v>43331</v>
      </c>
      <c r="E173" s="135" t="s">
        <v>36</v>
      </c>
      <c r="F173" s="25" t="s">
        <v>1485</v>
      </c>
      <c r="G173" s="539"/>
      <c r="H173" s="540"/>
      <c r="I173" s="541"/>
      <c r="J173" s="131" t="s">
        <v>1486</v>
      </c>
      <c r="K173" s="132"/>
      <c r="L173" s="90" t="s">
        <v>42</v>
      </c>
      <c r="M173" s="429">
        <v>99.95</v>
      </c>
    </row>
    <row r="174" spans="1:13" s="152" customFormat="1" ht="24" customHeight="1" thickTop="1" thickBot="1">
      <c r="A174" s="518">
        <v>340</v>
      </c>
      <c r="B174" s="150" t="s">
        <v>19</v>
      </c>
      <c r="C174" s="150" t="s">
        <v>20</v>
      </c>
      <c r="D174" s="150" t="s">
        <v>21</v>
      </c>
      <c r="E174" s="523" t="s">
        <v>22</v>
      </c>
      <c r="F174" s="523"/>
      <c r="G174" s="523" t="s">
        <v>12</v>
      </c>
      <c r="H174" s="528"/>
      <c r="I174" s="164"/>
      <c r="J174" s="126" t="s">
        <v>39</v>
      </c>
      <c r="K174" s="127"/>
      <c r="L174" s="99"/>
      <c r="M174" s="428"/>
    </row>
    <row r="175" spans="1:13" s="152" customFormat="1" ht="34.5" thickBot="1">
      <c r="A175" s="521"/>
      <c r="B175" s="128" t="s">
        <v>1487</v>
      </c>
      <c r="C175" s="128" t="s">
        <v>1488</v>
      </c>
      <c r="D175" s="129">
        <v>43353</v>
      </c>
      <c r="E175" s="128"/>
      <c r="F175" s="128" t="s">
        <v>155</v>
      </c>
      <c r="G175" s="524" t="s">
        <v>160</v>
      </c>
      <c r="H175" s="525"/>
      <c r="I175" s="526"/>
      <c r="J175" s="130" t="s">
        <v>163</v>
      </c>
      <c r="K175" s="130"/>
      <c r="L175" s="87" t="s">
        <v>42</v>
      </c>
      <c r="M175" s="426">
        <v>1400</v>
      </c>
    </row>
    <row r="176" spans="1:13" s="152" customFormat="1" ht="23.25" thickBot="1">
      <c r="A176" s="521"/>
      <c r="B176" s="153" t="s">
        <v>29</v>
      </c>
      <c r="C176" s="153" t="s">
        <v>30</v>
      </c>
      <c r="D176" s="153" t="s">
        <v>31</v>
      </c>
      <c r="E176" s="527" t="s">
        <v>32</v>
      </c>
      <c r="F176" s="527"/>
      <c r="G176" s="529"/>
      <c r="H176" s="530"/>
      <c r="I176" s="531"/>
      <c r="J176" s="131" t="s">
        <v>27</v>
      </c>
      <c r="K176" s="132"/>
      <c r="L176" s="90" t="s">
        <v>42</v>
      </c>
      <c r="M176" s="429">
        <v>1100</v>
      </c>
    </row>
    <row r="177" spans="1:13" s="152" customFormat="1" ht="23.25" thickBot="1">
      <c r="A177" s="522"/>
      <c r="B177" s="133" t="s">
        <v>1489</v>
      </c>
      <c r="C177" s="133" t="s">
        <v>160</v>
      </c>
      <c r="D177" s="144">
        <v>43357</v>
      </c>
      <c r="E177" s="135" t="s">
        <v>36</v>
      </c>
      <c r="F177" s="25" t="s">
        <v>1490</v>
      </c>
      <c r="G177" s="539"/>
      <c r="H177" s="540"/>
      <c r="I177" s="541"/>
      <c r="J177" s="131" t="s">
        <v>41</v>
      </c>
      <c r="K177" s="132"/>
      <c r="L177" s="90"/>
      <c r="M177" s="429"/>
    </row>
    <row r="178" spans="1:13" s="152" customFormat="1" ht="24" customHeight="1" thickTop="1" thickBot="1">
      <c r="A178" s="518">
        <v>341</v>
      </c>
      <c r="B178" s="150" t="s">
        <v>19</v>
      </c>
      <c r="C178" s="150" t="s">
        <v>20</v>
      </c>
      <c r="D178" s="150" t="s">
        <v>21</v>
      </c>
      <c r="E178" s="523" t="s">
        <v>22</v>
      </c>
      <c r="F178" s="523"/>
      <c r="G178" s="523" t="s">
        <v>12</v>
      </c>
      <c r="H178" s="528"/>
      <c r="I178" s="164"/>
      <c r="J178" s="126" t="s">
        <v>39</v>
      </c>
      <c r="K178" s="127"/>
      <c r="L178" s="99"/>
      <c r="M178" s="428"/>
    </row>
    <row r="179" spans="1:13" s="152" customFormat="1" ht="23.25" thickBot="1">
      <c r="A179" s="521"/>
      <c r="B179" s="128" t="s">
        <v>1491</v>
      </c>
      <c r="C179" s="128" t="s">
        <v>214</v>
      </c>
      <c r="D179" s="129">
        <v>43257</v>
      </c>
      <c r="E179" s="128"/>
      <c r="F179" s="128" t="s">
        <v>139</v>
      </c>
      <c r="G179" s="524" t="s">
        <v>215</v>
      </c>
      <c r="H179" s="525"/>
      <c r="I179" s="526"/>
      <c r="J179" s="130" t="s">
        <v>141</v>
      </c>
      <c r="K179" s="130"/>
      <c r="L179" s="87" t="s">
        <v>42</v>
      </c>
      <c r="M179" s="426">
        <v>6000</v>
      </c>
    </row>
    <row r="180" spans="1:13" s="152" customFormat="1" ht="23.25" thickBot="1">
      <c r="A180" s="521"/>
      <c r="B180" s="153" t="s">
        <v>29</v>
      </c>
      <c r="C180" s="153" t="s">
        <v>30</v>
      </c>
      <c r="D180" s="153" t="s">
        <v>31</v>
      </c>
      <c r="E180" s="527" t="s">
        <v>32</v>
      </c>
      <c r="F180" s="527"/>
      <c r="G180" s="529"/>
      <c r="H180" s="530"/>
      <c r="I180" s="531"/>
      <c r="J180" s="131" t="s">
        <v>40</v>
      </c>
      <c r="K180" s="132"/>
      <c r="L180" s="90"/>
      <c r="M180" s="429"/>
    </row>
    <row r="181" spans="1:13" s="152" customFormat="1" ht="23.25" thickBot="1">
      <c r="A181" s="522"/>
      <c r="B181" s="133" t="s">
        <v>1492</v>
      </c>
      <c r="C181" s="133" t="s">
        <v>215</v>
      </c>
      <c r="D181" s="144">
        <v>43259</v>
      </c>
      <c r="E181" s="135" t="s">
        <v>36</v>
      </c>
      <c r="F181" s="25" t="s">
        <v>1030</v>
      </c>
      <c r="G181" s="539"/>
      <c r="H181" s="540"/>
      <c r="I181" s="541"/>
      <c r="J181" s="131" t="s">
        <v>41</v>
      </c>
      <c r="K181" s="132"/>
      <c r="L181" s="90"/>
      <c r="M181" s="429"/>
    </row>
    <row r="182" spans="1:13" s="152" customFormat="1" ht="24" customHeight="1" thickTop="1" thickBot="1">
      <c r="A182" s="518">
        <v>342</v>
      </c>
      <c r="B182" s="150" t="s">
        <v>19</v>
      </c>
      <c r="C182" s="150" t="s">
        <v>20</v>
      </c>
      <c r="D182" s="150" t="s">
        <v>21</v>
      </c>
      <c r="E182" s="523" t="s">
        <v>22</v>
      </c>
      <c r="F182" s="523"/>
      <c r="G182" s="523" t="s">
        <v>12</v>
      </c>
      <c r="H182" s="528"/>
      <c r="I182" s="164"/>
      <c r="J182" s="126" t="s">
        <v>39</v>
      </c>
      <c r="K182" s="127"/>
      <c r="L182" s="99"/>
      <c r="M182" s="428"/>
    </row>
    <row r="183" spans="1:13" s="152" customFormat="1" ht="23.25" thickBot="1">
      <c r="A183" s="521"/>
      <c r="B183" s="128" t="s">
        <v>1493</v>
      </c>
      <c r="C183" s="128" t="s">
        <v>214</v>
      </c>
      <c r="D183" s="129">
        <v>43257</v>
      </c>
      <c r="E183" s="128"/>
      <c r="F183" s="128" t="s">
        <v>139</v>
      </c>
      <c r="G183" s="524" t="s">
        <v>215</v>
      </c>
      <c r="H183" s="525"/>
      <c r="I183" s="526"/>
      <c r="J183" s="130" t="s">
        <v>141</v>
      </c>
      <c r="K183" s="130"/>
      <c r="L183" s="87" t="s">
        <v>42</v>
      </c>
      <c r="M183" s="426">
        <v>6000</v>
      </c>
    </row>
    <row r="184" spans="1:13" s="152" customFormat="1" ht="23.25" thickBot="1">
      <c r="A184" s="521"/>
      <c r="B184" s="153" t="s">
        <v>29</v>
      </c>
      <c r="C184" s="153" t="s">
        <v>30</v>
      </c>
      <c r="D184" s="153" t="s">
        <v>31</v>
      </c>
      <c r="E184" s="527" t="s">
        <v>32</v>
      </c>
      <c r="F184" s="527"/>
      <c r="G184" s="529"/>
      <c r="H184" s="530"/>
      <c r="I184" s="531"/>
      <c r="J184" s="131" t="s">
        <v>40</v>
      </c>
      <c r="K184" s="132"/>
      <c r="L184" s="90"/>
      <c r="M184" s="429"/>
    </row>
    <row r="185" spans="1:13" s="152" customFormat="1" ht="23.25" thickBot="1">
      <c r="A185" s="522"/>
      <c r="B185" s="133" t="s">
        <v>1494</v>
      </c>
      <c r="C185" s="133" t="s">
        <v>215</v>
      </c>
      <c r="D185" s="144">
        <v>43259</v>
      </c>
      <c r="E185" s="135" t="s">
        <v>36</v>
      </c>
      <c r="F185" s="25" t="s">
        <v>1030</v>
      </c>
      <c r="G185" s="539"/>
      <c r="H185" s="540"/>
      <c r="I185" s="541"/>
      <c r="J185" s="131" t="s">
        <v>41</v>
      </c>
      <c r="K185" s="132"/>
      <c r="L185" s="90"/>
      <c r="M185" s="429"/>
    </row>
    <row r="186" spans="1:13" s="152" customFormat="1" ht="24" customHeight="1" thickTop="1" thickBot="1">
      <c r="A186" s="518">
        <v>343</v>
      </c>
      <c r="B186" s="150" t="s">
        <v>19</v>
      </c>
      <c r="C186" s="150" t="s">
        <v>20</v>
      </c>
      <c r="D186" s="150" t="s">
        <v>21</v>
      </c>
      <c r="E186" s="523" t="s">
        <v>22</v>
      </c>
      <c r="F186" s="523"/>
      <c r="G186" s="523" t="s">
        <v>12</v>
      </c>
      <c r="H186" s="528"/>
      <c r="I186" s="164"/>
      <c r="J186" s="126" t="s">
        <v>39</v>
      </c>
      <c r="K186" s="127"/>
      <c r="L186" s="99"/>
      <c r="M186" s="428"/>
    </row>
    <row r="187" spans="1:13" s="152" customFormat="1" ht="45.75" thickBot="1">
      <c r="A187" s="521"/>
      <c r="B187" s="128" t="s">
        <v>182</v>
      </c>
      <c r="C187" s="128" t="s">
        <v>1495</v>
      </c>
      <c r="D187" s="129">
        <v>43242</v>
      </c>
      <c r="E187" s="128"/>
      <c r="F187" s="128" t="s">
        <v>235</v>
      </c>
      <c r="G187" s="524" t="s">
        <v>1496</v>
      </c>
      <c r="H187" s="525"/>
      <c r="I187" s="526"/>
      <c r="J187" s="130" t="s">
        <v>27</v>
      </c>
      <c r="K187" s="130"/>
      <c r="L187" s="87" t="s">
        <v>42</v>
      </c>
      <c r="M187" s="426">
        <v>484</v>
      </c>
    </row>
    <row r="188" spans="1:13" s="152" customFormat="1" ht="23.25" thickBot="1">
      <c r="A188" s="521"/>
      <c r="B188" s="153" t="s">
        <v>29</v>
      </c>
      <c r="C188" s="153" t="s">
        <v>30</v>
      </c>
      <c r="D188" s="153" t="s">
        <v>31</v>
      </c>
      <c r="E188" s="527" t="s">
        <v>32</v>
      </c>
      <c r="F188" s="527"/>
      <c r="G188" s="529"/>
      <c r="H188" s="530"/>
      <c r="I188" s="531"/>
      <c r="J188" s="131" t="s">
        <v>163</v>
      </c>
      <c r="K188" s="132"/>
      <c r="L188" s="90" t="s">
        <v>42</v>
      </c>
      <c r="M188" s="429">
        <v>2900</v>
      </c>
    </row>
    <row r="189" spans="1:13" s="152" customFormat="1" ht="23.25" thickBot="1">
      <c r="A189" s="522"/>
      <c r="B189" s="134" t="s">
        <v>184</v>
      </c>
      <c r="C189" s="134" t="s">
        <v>1497</v>
      </c>
      <c r="D189" s="144">
        <v>43245</v>
      </c>
      <c r="E189" s="135" t="s">
        <v>36</v>
      </c>
      <c r="F189" s="140" t="s">
        <v>1498</v>
      </c>
      <c r="G189" s="539"/>
      <c r="H189" s="540"/>
      <c r="I189" s="541"/>
      <c r="J189" s="141" t="s">
        <v>41</v>
      </c>
      <c r="K189" s="142"/>
      <c r="L189" s="110"/>
      <c r="M189" s="431"/>
    </row>
    <row r="190" spans="1:13" s="465" customFormat="1" ht="24" customHeight="1" thickTop="1" thickBot="1">
      <c r="A190" s="518">
        <v>344</v>
      </c>
      <c r="B190" s="464" t="s">
        <v>19</v>
      </c>
      <c r="C190" s="464" t="s">
        <v>20</v>
      </c>
      <c r="D190" s="464" t="s">
        <v>21</v>
      </c>
      <c r="E190" s="523" t="s">
        <v>22</v>
      </c>
      <c r="F190" s="523"/>
      <c r="G190" s="565" t="s">
        <v>12</v>
      </c>
      <c r="H190" s="566"/>
      <c r="I190" s="567"/>
      <c r="J190" s="126" t="s">
        <v>39</v>
      </c>
      <c r="K190" s="127"/>
      <c r="L190" s="127"/>
      <c r="M190" s="22"/>
    </row>
    <row r="191" spans="1:13" s="465" customFormat="1" ht="23.25" customHeight="1" thickBot="1">
      <c r="A191" s="521"/>
      <c r="B191" s="128" t="s">
        <v>1503</v>
      </c>
      <c r="C191" s="128" t="s">
        <v>1504</v>
      </c>
      <c r="D191" s="470">
        <v>43192</v>
      </c>
      <c r="E191" s="128"/>
      <c r="F191" s="128" t="s">
        <v>1505</v>
      </c>
      <c r="G191" s="524" t="s">
        <v>1506</v>
      </c>
      <c r="H191" s="525"/>
      <c r="I191" s="526"/>
      <c r="J191" s="469" t="s">
        <v>27</v>
      </c>
      <c r="K191" s="410"/>
      <c r="L191" s="411" t="s">
        <v>28</v>
      </c>
      <c r="M191" s="65">
        <v>932</v>
      </c>
    </row>
    <row r="192" spans="1:13" s="465" customFormat="1" ht="23.25" thickBot="1">
      <c r="A192" s="521"/>
      <c r="B192" s="466" t="s">
        <v>29</v>
      </c>
      <c r="C192" s="466" t="s">
        <v>30</v>
      </c>
      <c r="D192" s="466" t="s">
        <v>31</v>
      </c>
      <c r="E192" s="527" t="s">
        <v>32</v>
      </c>
      <c r="F192" s="527"/>
      <c r="G192" s="529"/>
      <c r="H192" s="530"/>
      <c r="I192" s="531"/>
      <c r="J192" s="413" t="s">
        <v>33</v>
      </c>
      <c r="K192" s="411"/>
      <c r="L192" s="414" t="s">
        <v>28</v>
      </c>
      <c r="M192" s="66">
        <v>4940</v>
      </c>
    </row>
    <row r="193" spans="1:13" s="465" customFormat="1" ht="23.25" thickBot="1">
      <c r="A193" s="522"/>
      <c r="B193" s="467" t="s">
        <v>1507</v>
      </c>
      <c r="C193" s="467" t="s">
        <v>1508</v>
      </c>
      <c r="D193" s="144">
        <v>43196</v>
      </c>
      <c r="E193" s="135" t="s">
        <v>36</v>
      </c>
      <c r="F193" s="25" t="s">
        <v>1509</v>
      </c>
      <c r="G193" s="582"/>
      <c r="H193" s="583"/>
      <c r="I193" s="584"/>
      <c r="J193" s="415"/>
      <c r="K193" s="416"/>
      <c r="L193" s="416"/>
      <c r="M193" s="66"/>
    </row>
    <row r="194" spans="1:13" s="465" customFormat="1" ht="24" customHeight="1" thickTop="1" thickBot="1">
      <c r="A194" s="518">
        <v>345</v>
      </c>
      <c r="B194" s="464" t="s">
        <v>19</v>
      </c>
      <c r="C194" s="464" t="s">
        <v>20</v>
      </c>
      <c r="D194" s="464" t="s">
        <v>21</v>
      </c>
      <c r="E194" s="523" t="s">
        <v>22</v>
      </c>
      <c r="F194" s="523"/>
      <c r="G194" s="523" t="s">
        <v>12</v>
      </c>
      <c r="H194" s="528"/>
      <c r="I194" s="468"/>
      <c r="J194" s="126" t="s">
        <v>39</v>
      </c>
      <c r="K194" s="127"/>
      <c r="L194" s="127"/>
      <c r="M194" s="22"/>
    </row>
    <row r="195" spans="1:13" s="465" customFormat="1" ht="45.75" customHeight="1" thickBot="1">
      <c r="A195" s="521"/>
      <c r="B195" s="128" t="s">
        <v>1510</v>
      </c>
      <c r="C195" s="128" t="s">
        <v>1504</v>
      </c>
      <c r="D195" s="470">
        <v>43192</v>
      </c>
      <c r="E195" s="128"/>
      <c r="F195" s="128" t="s">
        <v>1505</v>
      </c>
      <c r="G195" s="524" t="s">
        <v>1506</v>
      </c>
      <c r="H195" s="525"/>
      <c r="I195" s="526"/>
      <c r="J195" s="469" t="s">
        <v>27</v>
      </c>
      <c r="K195" s="410"/>
      <c r="L195" s="411" t="s">
        <v>28</v>
      </c>
      <c r="M195" s="65">
        <v>720</v>
      </c>
    </row>
    <row r="196" spans="1:13" s="465" customFormat="1" ht="23.25" thickBot="1">
      <c r="A196" s="521"/>
      <c r="B196" s="466" t="s">
        <v>29</v>
      </c>
      <c r="C196" s="466" t="s">
        <v>30</v>
      </c>
      <c r="D196" s="466" t="s">
        <v>31</v>
      </c>
      <c r="E196" s="527" t="s">
        <v>32</v>
      </c>
      <c r="F196" s="527"/>
      <c r="G196" s="529"/>
      <c r="H196" s="530"/>
      <c r="I196" s="531"/>
      <c r="J196" s="413" t="s">
        <v>33</v>
      </c>
      <c r="K196" s="411"/>
      <c r="L196" s="414" t="s">
        <v>28</v>
      </c>
      <c r="M196" s="66">
        <v>1186</v>
      </c>
    </row>
    <row r="197" spans="1:13" s="465" customFormat="1" ht="15.75" thickBot="1">
      <c r="A197" s="522"/>
      <c r="B197" s="442" t="s">
        <v>1511</v>
      </c>
      <c r="C197" s="493" t="s">
        <v>1508</v>
      </c>
      <c r="D197" s="76">
        <v>43196</v>
      </c>
      <c r="E197" s="494" t="s">
        <v>36</v>
      </c>
      <c r="F197" s="495" t="s">
        <v>1509</v>
      </c>
      <c r="G197" s="539"/>
      <c r="H197" s="540"/>
      <c r="I197" s="541"/>
      <c r="J197" s="496"/>
      <c r="K197" s="497"/>
      <c r="L197" s="497"/>
      <c r="M197" s="36"/>
    </row>
    <row r="198" spans="1:13" s="465" customFormat="1" ht="22.5" customHeight="1" thickTop="1"/>
    <row r="199" spans="1:13" s="465" customFormat="1" ht="22.5" customHeight="1"/>
    <row r="200" spans="1:13" s="465" customFormat="1" ht="22.5" customHeight="1"/>
    <row r="201" spans="1:13" s="465" customFormat="1" ht="22.5" customHeight="1"/>
    <row r="202" spans="1:13" s="465" customFormat="1" ht="22.5" customHeight="1"/>
    <row r="203" spans="1:13" s="465" customFormat="1" ht="22.5" customHeight="1"/>
    <row r="204" spans="1:13" ht="15.75" thickBot="1"/>
    <row r="205" spans="1:13">
      <c r="L205" s="454" t="s">
        <v>1500</v>
      </c>
      <c r="M205" s="459"/>
    </row>
    <row r="206" spans="1:13" ht="24" customHeight="1">
      <c r="L206" s="457"/>
      <c r="M206" s="460"/>
    </row>
    <row r="207" spans="1:13" ht="58.5" customHeight="1">
      <c r="L207" s="455" t="b">
        <v>0</v>
      </c>
      <c r="M207" s="461" t="s">
        <v>1501</v>
      </c>
    </row>
    <row r="208" spans="1:13" ht="45">
      <c r="L208" s="455" t="b">
        <v>1</v>
      </c>
      <c r="M208" s="461" t="s">
        <v>1502</v>
      </c>
    </row>
    <row r="209" spans="12:13">
      <c r="L209" s="455" t="b">
        <v>0</v>
      </c>
      <c r="M209" s="460"/>
    </row>
    <row r="210" spans="12:13" ht="23.25" customHeight="1" thickBot="1">
      <c r="L210" s="456">
        <v>1</v>
      </c>
      <c r="M210" s="458"/>
    </row>
    <row r="211" spans="12:13" ht="33.75" customHeight="1"/>
    <row r="214" spans="12:13" ht="23.25" customHeight="1"/>
    <row r="215" spans="12:13" ht="15" customHeight="1"/>
    <row r="218" spans="12:13" ht="23.25" customHeight="1"/>
    <row r="219" spans="12:13" ht="15" customHeight="1"/>
    <row r="222" spans="12:13" ht="23.25" customHeight="1"/>
    <row r="223" spans="12:13" ht="45" customHeight="1"/>
    <row r="226" ht="23.25" customHeight="1"/>
    <row r="227" ht="15" customHeight="1"/>
  </sheetData>
  <mergeCells count="343">
    <mergeCell ref="A190:A193"/>
    <mergeCell ref="E190:F190"/>
    <mergeCell ref="G191:I191"/>
    <mergeCell ref="E192:F192"/>
    <mergeCell ref="A194:A197"/>
    <mergeCell ref="E194:F194"/>
    <mergeCell ref="G194:H194"/>
    <mergeCell ref="G195:I195"/>
    <mergeCell ref="E196:F196"/>
    <mergeCell ref="G196:I196"/>
    <mergeCell ref="G197:I197"/>
    <mergeCell ref="G190:I190"/>
    <mergeCell ref="G192: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8:A181"/>
    <mergeCell ref="E178:F178"/>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A154:A157"/>
    <mergeCell ref="E154:F154"/>
    <mergeCell ref="G154:H154"/>
    <mergeCell ref="G155:I155"/>
    <mergeCell ref="E156:F156"/>
    <mergeCell ref="G156:I156"/>
    <mergeCell ref="G157:I157"/>
    <mergeCell ref="G160:I160"/>
    <mergeCell ref="G161:I16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5:I135"/>
    <mergeCell ref="E136:F136"/>
    <mergeCell ref="A130:A133"/>
    <mergeCell ref="E130:F130"/>
    <mergeCell ref="G130:H130"/>
    <mergeCell ref="G131:I131"/>
    <mergeCell ref="E132:F132"/>
    <mergeCell ref="G132:I132"/>
    <mergeCell ref="G133:I133"/>
    <mergeCell ref="G134:I134"/>
    <mergeCell ref="G136:I13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A66:A69"/>
    <mergeCell ref="E66:F66"/>
    <mergeCell ref="G66:H66"/>
    <mergeCell ref="G67:I67"/>
    <mergeCell ref="E68:F68"/>
    <mergeCell ref="G68:I68"/>
    <mergeCell ref="G69:I69"/>
    <mergeCell ref="G72:I72"/>
    <mergeCell ref="G73:I73"/>
    <mergeCell ref="A62:A65"/>
    <mergeCell ref="A58:A61"/>
    <mergeCell ref="E58:F58"/>
    <mergeCell ref="G58:H58"/>
    <mergeCell ref="A54:A57"/>
    <mergeCell ref="E54:F54"/>
    <mergeCell ref="G55:I55"/>
    <mergeCell ref="E56:F56"/>
    <mergeCell ref="G54:H54"/>
    <mergeCell ref="G56:I56"/>
    <mergeCell ref="G57:I57"/>
    <mergeCell ref="G60:I60"/>
    <mergeCell ref="G61:I61"/>
    <mergeCell ref="G59:I59"/>
    <mergeCell ref="E60:F60"/>
    <mergeCell ref="E62:F62"/>
    <mergeCell ref="G62:H62"/>
    <mergeCell ref="G63:I63"/>
    <mergeCell ref="E64:F64"/>
    <mergeCell ref="G64:I64"/>
    <mergeCell ref="G65:I65"/>
    <mergeCell ref="A50:A53"/>
    <mergeCell ref="E50:F50"/>
    <mergeCell ref="G50:H50"/>
    <mergeCell ref="G51:I51"/>
    <mergeCell ref="E52:F52"/>
    <mergeCell ref="A46:A49"/>
    <mergeCell ref="E46:F46"/>
    <mergeCell ref="G47:I47"/>
    <mergeCell ref="E48:F48"/>
    <mergeCell ref="G46:H46"/>
    <mergeCell ref="G48:I48"/>
    <mergeCell ref="G49:I49"/>
    <mergeCell ref="G52:I52"/>
    <mergeCell ref="G53:I53"/>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9:I19"/>
    <mergeCell ref="E20:F20"/>
    <mergeCell ref="G20:I20"/>
    <mergeCell ref="G21:I21"/>
    <mergeCell ref="K12:K13"/>
    <mergeCell ref="L12:L13"/>
    <mergeCell ref="A14:A17"/>
    <mergeCell ref="E14:F14"/>
    <mergeCell ref="G14:H14"/>
    <mergeCell ref="G15:I15"/>
    <mergeCell ref="E16:F16"/>
    <mergeCell ref="G16:I16"/>
    <mergeCell ref="G17:I17"/>
    <mergeCell ref="G18:H18"/>
    <mergeCell ref="J2:M4"/>
    <mergeCell ref="A5:M5"/>
    <mergeCell ref="A6:A13"/>
    <mergeCell ref="B6:J7"/>
    <mergeCell ref="B8:M8"/>
    <mergeCell ref="B9:F9"/>
    <mergeCell ref="G9:G11"/>
    <mergeCell ref="H9:H11"/>
    <mergeCell ref="I9:I11"/>
    <mergeCell ref="J9:J11"/>
    <mergeCell ref="M12:M13"/>
    <mergeCell ref="K9:K11"/>
    <mergeCell ref="L9:M11"/>
    <mergeCell ref="B10:F10"/>
    <mergeCell ref="D11:F11"/>
    <mergeCell ref="B12:B13"/>
    <mergeCell ref="C12:C13"/>
    <mergeCell ref="D12:D13"/>
    <mergeCell ref="E12:F13"/>
    <mergeCell ref="G12:I13"/>
    <mergeCell ref="J12:J13"/>
  </mergeCells>
  <dataValidations count="50">
    <dataValidation allowBlank="1" showInputMessage="1" showErrorMessage="1" promptTitle="Next Traveler Name " prompt="List traveler's first and last name here." sqref="B79 B83 B87 B91 B95 B99 B103 B107 B111 B115 B119 B123 B127 B131 B19 B23 B27 B31 B35 B39 B43 B47 B51 B55 B59 B63 B67 B71 B75 B187 B143 B147 B151 B155 B159 B163 B167 B171 B175 B179 B183 B139 B195"/>
    <dataValidation allowBlank="1" showInputMessage="1" showErrorMessage="1" promptTitle="Traveler Name " prompt="List traveler's first and last name here." sqref="B135 B191"/>
    <dataValidation allowBlank="1" showInputMessage="1" showErrorMessage="1" promptTitle="Event Description" prompt="Provide event description (e.g. title of the conference) here." sqref="C79 C83 C87 C91 C95 C99 C103 C107 C111 C115 C119 C123 C127 C131 C19 C23 C27 C31 C35 C39 C43 C47 C51 C55 C59 C63 C67 C71 C75 C187 C159 C143 C135 C147 C151 C155 C139 C163 C171 C175 C179 C167 C183 C191 C195"/>
    <dataValidation type="date" allowBlank="1" showInputMessage="1" showErrorMessage="1" errorTitle="Text Entered Not Valid" error="Please enter date using standardized format MM/DD/YYYY." promptTitle="Event Beginning Date" prompt="Insert event beginning date using the format MM/DD/YYYY here._x000a_" sqref="D79 D83 D87 D91 D95 D99 D103 D107 D111 D115 D119 D123 D127 D131 D19 D23 D27 D31 D35 D39 D43 D47 D51 D55 D59 D63 D67 D71 D75 D187 D159 D143 D135 D147 D151 D155 D139 D163 D171 D175 D179 D167 D183 D191 D195">
      <formula1>40179</formula1>
      <formula2>73051</formula2>
    </dataValidation>
    <dataValidation allowBlank="1" showInputMessage="1" showErrorMessage="1" promptTitle="Location " prompt="List location of event here." sqref="F79 F83 F87 F91 F95 F99 F103 F107 F111 F115 F119 F123 F127 F131 F19 F23 F27 F31 F35 F39 F43 F47 F51 F55 F59 F63 F67 F71 F75 F187 F159 F143 F135 F147 F151 F155 F139 F163 F171 F175 F179 F167 F183 F191 F195"/>
    <dataValidation allowBlank="1" showInputMessage="1" showErrorMessage="1" promptTitle="Traveler Title" prompt="List traveler's title here." sqref="B81 B85 B89 B93 B97 B101 B105 B109 B113 B117 B121 B125 B129 B133 B21 B25 B29 B33 B37 B41 B45 B49 B53 B57 B61 B65 B69 B73 B77 B137 B189 B145 B149 B153 B157 B161 B165 B169 B173 B177 B181 B185 B141 B193 B197"/>
    <dataValidation allowBlank="1" showInputMessage="1" showErrorMessage="1" promptTitle="Event Sponsor" prompt="List the event sponsor here." sqref="C81 C85 C89 C93 C97 C101 C105 C109 C113 C117 C121 C125 C129 C133 C21 C25 C29 C33 C37 C41 C45 C49 C53 C57 C61 C65 C69 C73 C77 C137 C161 C145 C189 C149 C153 C157 C141 C165 C173 C177 C181 C169 C185 C193 C197"/>
    <dataValidation type="date" allowBlank="1" showInputMessage="1" showErrorMessage="1" errorTitle="Data Entry Error" error="Please enter date using MM/DD/YYYY" promptTitle="Event Ending Date" prompt="List Event ending date here using the format MM/DD/YYYY." sqref="D81 D85 D89 D93 D97 D101 D105 D109 D113 D117 D121 D125 D129 D133 D21 D25 D29 D33 D37 D41 D45 D49 D53 D57 D61 D65 D69 D73 D77 D137 D161 D145 D189 D149 D153 D157 D141 D165 D173 D177 D181 D169 D185 D193 D197">
      <formula1>40179</formula1>
      <formula2>73051</formula2>
    </dataValidation>
    <dataValidation allowBlank="1" showInputMessage="1" showErrorMessage="1" promptTitle="Travel Date(s)" prompt="List the dates of travel here expressed in the format MM/DD/YYYY-MM/DD/YYYY." sqref="F81 F85 F89 F93 F97 F101 F105 F109 F113 F117 F121 F125 F129 F133 F21 F25 F29 F33 F37 F41 F45 F49 F53 F57 F61 F65 F69 F73 F77 F137 F161 F145 F189 F149 F153 F157 F141 F165 F173 F177 F181 F169 F185 F193 F197"/>
    <dataValidation allowBlank="1" showInputMessage="1" showErrorMessage="1" promptTitle="Benefit#1 Description" prompt="Benefit Description for Entry #1 is listed here." sqref="J78:J79 J82:J83 J86:J87 J90:J91 J94:J95 J98:J99 J102:J103 J106:J107 J110:J111 J114:J115 J118:J119 J122:J123 J126:J127 J130:J131 J18:J19 J22:J23 J26:J27 J30:J31 J34:J35 J38:J39 J42:J43 J46:J47 J50:J51 J54:J55 J58:J59 J62:J63 J66:J67 J70:J71 J74:J75 J186:J187 J158:J159 J142:J143 J134:J135 J146:J147 J150:J151 J154:J155 J138:J139 J162:J163 J170:J171 J174:J175 J178:J179 J166:J167 J182:J183 J190:J191 J194:J195"/>
    <dataValidation allowBlank="1" showInputMessage="1" showErrorMessage="1" promptTitle="Benefit #1 Total Amount" prompt="The total amount of Benefit #1 is entered here." sqref="M78:M79 M82:M83 M86:M87 M90:M91 M94:M95 M98:M99 M102:M103 M106:M107 M110:M111 M114:M115 M118:M119 M122:M123 M126:M127 M130:M131 M18:M19 M22:M23 M26:M27 M30:M31 M34:M35 M38:M39 M42:M43 M46:M47 M50:M51 M54:M55 M58:M59 M62:M63 M66:M67 M70:M71 M74:M75 M186:M187 M158:M159 M142:M143 M134:M135 M146:M147 M150:M151 M154:M155 M138:M139 M162:M163 M170:M171 M174:M175 M178:M179 M166:M167 M182:M183 M190:M191 M194:M195"/>
    <dataValidation allowBlank="1" showInputMessage="1" showErrorMessage="1" promptTitle="Benefit #2 Description" prompt="Benefit #2 description is listed here" sqref="J80 J84 J88 J92 J96 J100 J104 J108 J112 J116 J120 J124 J128 J132 J20 J24 J28 J32 J36 J40 J44 J48 J52 J56 J60 J64 J68 J72 J76 J136 J160 J144 J188 J148 J152 J156 J140 J164 J172 J176 J180 J168 J184 J192 J196"/>
    <dataValidation allowBlank="1" showInputMessage="1" showErrorMessage="1" promptTitle="Benefit #2 Total Amount" prompt="The total amount of Benefit #2 is entered here." sqref="M80 M84 M88 M92 M96 M100 M104 M108 M112 M116 M120 M124 M128 M132 M20 M24 M28 M32 M36 M40 M44 M48 M52 M56 M60 M64 M68 M72 M76 M136 M160 M144 M188 M148 M152 M156 M140 M164 M172 M176 M180 M168 M184 M192 M196"/>
    <dataValidation allowBlank="1" showInputMessage="1" showErrorMessage="1" promptTitle="Benefit #3 Total Amount" prompt="The total amount of Benefit #3 is entered here." sqref="M81 M85 M89 M93 M97 M101 M105 M109 M113 M117 M121 M125 M129 M133 M21 M25 M29 M33 M37 M41 M45 M49 M53 M57 M61 M65 M69 M73 M77 M137 M161 M145 M189 M149 M153 M157 M141 M165 M173 M177 M181 M169 M185 M193 M197"/>
    <dataValidation allowBlank="1" showInputMessage="1" showErrorMessage="1" promptTitle="Benefit #3 Description" prompt="Benefit #3 description is listed here" sqref="J81 J85 J89 J93 J97 J101 J105 J109 J113 J117 J121 J125 J129 J133 J21 J25 J29 J33 J37 J41 J45 J49 J53 J57 J61 J65 J69 J73 J77 J137 J161 J145 J189 J149 J153 J157 J141 J165 J173 J177 J181 J169 J185 J193 J197"/>
    <dataValidation allowBlank="1" showInputMessage="1" showErrorMessage="1" promptTitle="Benefit #1--Payment by Check" prompt="If there is a benefit #1 and it was paid by check, mark an x in this cell._x000a_" sqref="K78:K79 K82:K83 K86:K87 K90:K91 K94:K95 K98:K99 K102:K103 K106:K107 K110:K111 K114:K115 K118:K119 K122:K123 K126:K127 K130:K131 K18:K19 K22:K23 K26:K27 K30:K31 K34:K35 K38:K39 K42:K43 K46:K47 K50:K51 K54:K55 K58:K59 K62:K63 K66:K67 K70:K71 K74:K75 K186:K187 K158:K159 K142:K143 K134:K135 K146:K147 K150:K151 K154:K155 K138:K139 K162:K163 K170:K171 K174:K175 K178:K179 K166:K167 K182:K183 K190:K191 K194:K195"/>
    <dataValidation allowBlank="1" showInputMessage="1" showErrorMessage="1" promptTitle="Benefit #2--Payment by Check" prompt="If there is a benefit #2 and it was paid by check, mark an x in this cell._x000a_" sqref="K80 K84 K88 K92 K96 K100 K104 K108 K112 K116 K120 K124 K128 K132 K20 K24 K28 K32 K36 K40 K44 K48 K52 K56 K60 K64 K68 K72 K76 K136 K160 K144 K188 K148 K152 K156 K140 K164 K172 K176 K180 K168 K184 K192 K196"/>
    <dataValidation allowBlank="1" showInputMessage="1" showErrorMessage="1" promptTitle="Benefit #3--Payment by Check" prompt="If there is a benefit #3 and it was paid by check, mark an x in this cell._x000a_" sqref="K81 K85 K89 K93 K97 K101 K105 K109 K113 K117 K121 K125 K129 K133 K21 K25 K29 K33 K37 K41 K45 K49 K53 K57 K61 K65 K69 K73 K77 K137 K161 K145 K189 K149 K153 K157 K141 K165 K173 K177 K181 K169 K185 K193 K197"/>
    <dataValidation allowBlank="1" showInputMessage="1" showErrorMessage="1" promptTitle="Benefit #1- Payment in-kind" prompt="If there is a benefit #1 and it was paid in-kind, mark this box with an  x._x000a_" sqref="L78:L79 L82:L83 L86:L87 L90:L91 L94:L95 L98:L99 L102:L103 L106:L107 L110:L111 L114:L115 L118:L119 L122:L123 L126:L127 L130:L131 L18:L19 L22:L23 L26:L27 L30:L31 L34:L35 L38:L39 L42:L43 L46:L47 L50:L51 L54:L55 L58:L59 L62:L63 L66:L67 L70:L71 L74:L75 L186:L187 L158:L159 L142:L143 L134:L135 L146:L147 L150:L151 L154:L155 L138:L139 L162:L163 L170:L171 L174:L175 L178:L179 L166:L167 L182:L183 L190:L191 L194:L195"/>
    <dataValidation allowBlank="1" showInputMessage="1" showErrorMessage="1" promptTitle="Benefit #2- Payment in-kind" prompt="If there is a benefit #2 and it was paid in-kind, mark this box with an  x._x000a_" sqref="L80 L84 L88 L92 L96 L100 L104 L108 L112 L116 L120 L124 L128 L132 L20 L24 L28 L32 L36 L40 L44 L48 L52 L56 L60 L64 L68 L72 L76 L136 L160 L144 L188 L148 L152 L156 L140 L164 L172 L176 L180 L168 L184 L192 L196"/>
    <dataValidation allowBlank="1" showInputMessage="1" showErrorMessage="1" promptTitle="Benefit #3- Payment in-kind" prompt="If there is a benefit #3 and it was paid in-kind, mark this box with an  x._x000a_" sqref="L81 L85 L89 L93 L97 L101 L105 L109 L113 L117 L121 L125 L129 L133 L21 L25 L29 L33 L37 L41 L45 L49 L53 L57 L61 L65 L69 L73 L77 L137 L161 L145 L189 L149 L153 L157 L141 L165 L173 L177 L181 L169 L185 L193 L197"/>
    <dataValidation allowBlank="1" showInputMessage="1" showErrorMessage="1" promptTitle="Benefit Source" prompt="List the benefit source here." sqref="G15:I15 G17:I17 G23:I23 G27:I27 G31:I31 G35:I35 G39:I39 G43:I43 G47:I47 G51:I51 G55:I55 G59:I59 G63:I63 G67:I67 G71:I71 G75:I75 G79:I79 G83:I83 G87:I87 G91:I91 G95:I95 G99:I99 G103:I103 G107:I107 G111:I111 G115:I115 G119:I119 G123:I123 G127:I127 G131:I131 G21:I21 G25:I25 G29:I29 G33:I33 G37:I37 G41:I41 G45:I45 G49:I49 G53:I53 G57:I57 G61:I61 G65:I65 G69:I69 G73:I73 G77:I77 G81:I81 G85:I85 G89:I89 G93:I93 G97:I97 G101:I101 G105:I105 G109:I109 G113:I113 G117:I117 G121:I121 G125:I125 G129:I129 G133:I133 G19:I19 G187:I187 G161:I161 G159:I159 G145:I145 G143:I143 G189:I189 G135 G149:I149 G147:I147 G153:I153 G151:I151 G157:I157 G155:I155 G141:I141 G139:I139 G165:I165 G163:I163 G173:I173 G171:I171 G177:I177 G175:I175 G181:I181 G179:I179 G169:I169 G167:I167 G185:I185 G183:I183 G191 G197:I197 G195:I195"/>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Indicate Negative Report" prompt="Mark an X in this box if you are submitting a negative report for this reporting period." sqref="K9:K11"/>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s>
  <printOptions horizontalCentered="1" verticalCentered="1"/>
  <pageMargins left="0.5" right="0.5" top="0.3" bottom="0.4"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 Sheet</vt:lpstr>
      <vt:lpstr>DAF 1</vt:lpstr>
      <vt:lpstr>DAF 2</vt:lpstr>
      <vt:lpstr>DAF 3</vt:lpstr>
      <vt:lpstr>DAF 4</vt:lpstr>
      <vt:lpstr>'DAF 1'!Print_Area</vt:lpstr>
      <vt:lpstr>'DAF 2'!Print_Area</vt:lpstr>
      <vt:lpstr>'DAF 3'!Print_Area</vt:lpstr>
      <vt:lpstr>'DAF 4'!Print_Area</vt:lpstr>
    </vt:vector>
  </TitlesOfParts>
  <Company>U.S. Air Force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2018-05-31T12:12:00Z</cp:lastPrinted>
  <dcterms:created xsi:type="dcterms:W3CDTF">2017-11-22T17:46:40Z</dcterms:created>
  <dcterms:modified xsi:type="dcterms:W3CDTF">2019-03-12T15:02:42Z</dcterms:modified>
</cp:coreProperties>
</file>